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affinitywaterltd.sharepoint.com/teams/PR24ProgrammeTeam/Shared Documents/General/15 Writing the plan/Appendices/"/>
    </mc:Choice>
  </mc:AlternateContent>
  <xr:revisionPtr revIDLastSave="0" documentId="8_{DBE39D11-DF97-4D77-BD58-652F62128BE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Total bill impacts" sheetId="15" r:id="rId14"/>
    <sheet name="OBXValues" sheetId="16" r:id="rId15"/>
    <sheet name="Bill impact waterfall" sheetId="17" r:id="rId16"/>
    <sheet name="Bill impact waterfall (costs)" sheetId="18" r:id="rId17"/>
    <sheet name="PowerBi table" sheetId="19" r:id="rId18"/>
  </sheets>
  <definedNames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4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3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4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3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5" l="1"/>
  <c r="E41" i="16" l="1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4" i="19"/>
  <c r="G33" i="19"/>
  <c r="F31" i="19"/>
  <c r="G29" i="19"/>
  <c r="G27" i="19"/>
  <c r="G26" i="19"/>
  <c r="G25" i="19"/>
  <c r="G23" i="19"/>
  <c r="G19" i="19"/>
  <c r="G17" i="19"/>
  <c r="G12" i="19"/>
  <c r="G10" i="19"/>
  <c r="G8" i="19"/>
  <c r="G6" i="19"/>
  <c r="G4" i="19"/>
  <c r="G3" i="19"/>
  <c r="E2" i="19"/>
  <c r="E1" i="18"/>
  <c r="A1" i="18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E21" i="13"/>
  <c r="G16" i="13"/>
  <c r="E16" i="13"/>
  <c r="G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E28" i="12"/>
  <c r="G23" i="12"/>
  <c r="F23" i="12"/>
  <c r="E23" i="12"/>
  <c r="G22" i="12"/>
  <c r="E22" i="12"/>
  <c r="G21" i="12"/>
  <c r="E21" i="12"/>
  <c r="G16" i="12"/>
  <c r="E16" i="12"/>
  <c r="G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F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E16" i="9"/>
  <c r="G15" i="9"/>
  <c r="E15" i="9"/>
  <c r="G10" i="9"/>
  <c r="E10" i="9"/>
  <c r="G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E46" i="8"/>
  <c r="G45" i="8"/>
  <c r="E45" i="8"/>
  <c r="G40" i="8"/>
  <c r="E40" i="8"/>
  <c r="G39" i="8"/>
  <c r="E39" i="8"/>
  <c r="G34" i="8"/>
  <c r="E34" i="8"/>
  <c r="G33" i="8"/>
  <c r="E33" i="8"/>
  <c r="G28" i="8"/>
  <c r="E28" i="8"/>
  <c r="G27" i="8"/>
  <c r="E27" i="8"/>
  <c r="G22" i="8"/>
  <c r="E22" i="8"/>
  <c r="G21" i="8"/>
  <c r="E21" i="8"/>
  <c r="G16" i="8"/>
  <c r="E16" i="8"/>
  <c r="G15" i="8"/>
  <c r="F15" i="8"/>
  <c r="E15" i="8"/>
  <c r="G10" i="8"/>
  <c r="E10" i="8"/>
  <c r="G9" i="8"/>
  <c r="F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E63" i="7"/>
  <c r="G58" i="7"/>
  <c r="E58" i="7"/>
  <c r="G57" i="7"/>
  <c r="F57" i="7"/>
  <c r="E57" i="7"/>
  <c r="G52" i="7"/>
  <c r="E52" i="7"/>
  <c r="G51" i="7"/>
  <c r="E51" i="7"/>
  <c r="G46" i="7"/>
  <c r="E46" i="7"/>
  <c r="G45" i="7"/>
  <c r="E45" i="7"/>
  <c r="G40" i="7"/>
  <c r="E40" i="7"/>
  <c r="G39" i="7"/>
  <c r="E39" i="7"/>
  <c r="G34" i="7"/>
  <c r="E34" i="7"/>
  <c r="G33" i="7"/>
  <c r="E33" i="7"/>
  <c r="G28" i="7"/>
  <c r="E28" i="7"/>
  <c r="G27" i="7"/>
  <c r="E27" i="7"/>
  <c r="G22" i="7"/>
  <c r="E22" i="7"/>
  <c r="G21" i="7"/>
  <c r="E21" i="7"/>
  <c r="G16" i="7"/>
  <c r="E16" i="7"/>
  <c r="G15" i="7"/>
  <c r="F15" i="7"/>
  <c r="E15" i="7"/>
  <c r="G10" i="7"/>
  <c r="E10" i="7"/>
  <c r="G9" i="7"/>
  <c r="F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 s="1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F11" i="12" l="1"/>
  <c r="G161" i="19" s="1"/>
  <c r="J22" i="6"/>
  <c r="J23" i="6" s="1"/>
  <c r="J4" i="6" s="1"/>
  <c r="K27" i="6"/>
  <c r="K5" i="7" s="1"/>
  <c r="J17" i="6"/>
  <c r="J18" i="6" s="1"/>
  <c r="K17" i="6"/>
  <c r="K18" i="6" s="1"/>
  <c r="J5" i="7"/>
  <c r="K5" i="6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K22" i="6"/>
  <c r="K23" i="6" s="1"/>
  <c r="J33" i="6"/>
  <c r="J34" i="6" s="1"/>
  <c r="J4" i="11" l="1"/>
  <c r="F10" i="13"/>
  <c r="F11" i="13" s="1"/>
  <c r="F166" i="19" s="1"/>
  <c r="J4" i="13"/>
  <c r="F22" i="12"/>
  <c r="J4" i="8"/>
  <c r="J4" i="14"/>
  <c r="J4" i="15"/>
  <c r="J4" i="9"/>
  <c r="G79" i="19"/>
  <c r="J4" i="10"/>
  <c r="J4" i="5"/>
  <c r="J4" i="12"/>
  <c r="E99" i="19"/>
  <c r="J12" i="6"/>
  <c r="J13" i="6" s="1"/>
  <c r="K4" i="5"/>
  <c r="G80" i="19"/>
  <c r="K4" i="12"/>
  <c r="K4" i="10"/>
  <c r="K4" i="9"/>
  <c r="K4" i="14"/>
  <c r="K4" i="15"/>
  <c r="K4" i="13"/>
  <c r="K4" i="11"/>
  <c r="K4" i="8"/>
  <c r="K4" i="7"/>
  <c r="K4" i="6"/>
  <c r="K3" i="11"/>
  <c r="K3" i="5"/>
  <c r="H70" i="19"/>
  <c r="K3" i="15"/>
  <c r="K3" i="12"/>
  <c r="K3" i="8"/>
  <c r="K3" i="7"/>
  <c r="K3" i="10"/>
  <c r="K3" i="9"/>
  <c r="K3" i="14"/>
  <c r="K3" i="13"/>
  <c r="K3" i="6"/>
  <c r="L5" i="15"/>
  <c r="L5" i="5"/>
  <c r="G91" i="19"/>
  <c r="L33" i="6"/>
  <c r="L22" i="6"/>
  <c r="L23" i="6" s="1"/>
  <c r="L5" i="14"/>
  <c r="L5" i="11"/>
  <c r="L5" i="13"/>
  <c r="L5" i="10"/>
  <c r="L5" i="9"/>
  <c r="L5" i="12"/>
  <c r="M27" i="6"/>
  <c r="L5" i="7"/>
  <c r="L5" i="6"/>
  <c r="L17" i="6"/>
  <c r="L18" i="6" s="1"/>
  <c r="L5" i="8"/>
  <c r="K34" i="6"/>
  <c r="J3" i="14"/>
  <c r="J3" i="12"/>
  <c r="J3" i="5"/>
  <c r="H69" i="19"/>
  <c r="J3" i="11"/>
  <c r="J3" i="15"/>
  <c r="J3" i="8"/>
  <c r="J3" i="10"/>
  <c r="J3" i="9"/>
  <c r="J3" i="13"/>
  <c r="J3" i="7"/>
  <c r="J3" i="6"/>
  <c r="F23" i="13" l="1"/>
  <c r="L3" i="5"/>
  <c r="H71" i="19"/>
  <c r="L3" i="15"/>
  <c r="L3" i="13"/>
  <c r="L3" i="12"/>
  <c r="L3" i="8"/>
  <c r="L3" i="7"/>
  <c r="L3" i="10"/>
  <c r="L3" i="9"/>
  <c r="L3" i="14"/>
  <c r="L3" i="11"/>
  <c r="L3" i="6"/>
  <c r="L4" i="5"/>
  <c r="G81" i="19"/>
  <c r="L4" i="12"/>
  <c r="L4" i="10"/>
  <c r="L4" i="6"/>
  <c r="L4" i="14"/>
  <c r="L4" i="15"/>
  <c r="L4" i="13"/>
  <c r="L4" i="11"/>
  <c r="L4" i="8"/>
  <c r="L4" i="7"/>
  <c r="L4" i="9"/>
  <c r="M5" i="15"/>
  <c r="M5" i="5"/>
  <c r="G92" i="19"/>
  <c r="M22" i="6"/>
  <c r="M23" i="6" s="1"/>
  <c r="M5" i="14"/>
  <c r="M5" i="11"/>
  <c r="M5" i="8"/>
  <c r="M5" i="7"/>
  <c r="M5" i="13"/>
  <c r="M5" i="10"/>
  <c r="M5" i="9"/>
  <c r="M5" i="12"/>
  <c r="M5" i="6"/>
  <c r="M17" i="6"/>
  <c r="M18" i="6" s="1"/>
  <c r="M33" i="6"/>
  <c r="N27" i="6"/>
  <c r="L34" i="6"/>
  <c r="E100" i="19"/>
  <c r="K12" i="6"/>
  <c r="K13" i="6" s="1"/>
  <c r="J2" i="15"/>
  <c r="J2" i="5"/>
  <c r="E59" i="19"/>
  <c r="J2" i="11"/>
  <c r="J2" i="12"/>
  <c r="J2" i="14"/>
  <c r="J2" i="13"/>
  <c r="J2" i="10"/>
  <c r="J2" i="9"/>
  <c r="J2" i="7"/>
  <c r="J2" i="6"/>
  <c r="J2" i="8"/>
  <c r="M34" i="6" l="1"/>
  <c r="M12" i="6" s="1"/>
  <c r="M13" i="6" s="1"/>
  <c r="N5" i="14"/>
  <c r="N5" i="12"/>
  <c r="N5" i="5"/>
  <c r="G93" i="19"/>
  <c r="N5" i="15"/>
  <c r="N17" i="6"/>
  <c r="N18" i="6" s="1"/>
  <c r="N5" i="11"/>
  <c r="N5" i="8"/>
  <c r="N5" i="13"/>
  <c r="N5" i="10"/>
  <c r="N5" i="9"/>
  <c r="N5" i="6"/>
  <c r="N5" i="7"/>
  <c r="N33" i="6"/>
  <c r="O27" i="6"/>
  <c r="N22" i="6"/>
  <c r="N23" i="6" s="1"/>
  <c r="K2" i="15"/>
  <c r="K2" i="5"/>
  <c r="E60" i="19"/>
  <c r="K2" i="11"/>
  <c r="K2" i="12"/>
  <c r="K2" i="14"/>
  <c r="K2" i="8"/>
  <c r="K2" i="13"/>
  <c r="K2" i="10"/>
  <c r="K2" i="9"/>
  <c r="K2" i="7"/>
  <c r="K2" i="6"/>
  <c r="E102" i="19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E101" i="19"/>
  <c r="L12" i="6"/>
  <c r="L13" i="6" s="1"/>
  <c r="N34" i="6" l="1"/>
  <c r="E103" i="19" s="1"/>
  <c r="O5" i="11"/>
  <c r="O5" i="5"/>
  <c r="G94" i="19"/>
  <c r="O5" i="15"/>
  <c r="O17" i="6"/>
  <c r="O18" i="6" s="1"/>
  <c r="O5" i="14"/>
  <c r="O5" i="8"/>
  <c r="O5" i="7"/>
  <c r="P27" i="6"/>
  <c r="O5" i="13"/>
  <c r="O5" i="10"/>
  <c r="O5" i="9"/>
  <c r="O5" i="12"/>
  <c r="O5" i="6"/>
  <c r="O33" i="6"/>
  <c r="O34" i="6" s="1"/>
  <c r="O22" i="6"/>
  <c r="O23" i="6" s="1"/>
  <c r="L2" i="14"/>
  <c r="L2" i="12"/>
  <c r="L2" i="5"/>
  <c r="E61" i="19"/>
  <c r="L2" i="8"/>
  <c r="L2" i="13"/>
  <c r="L2" i="10"/>
  <c r="L2" i="9"/>
  <c r="L2" i="15"/>
  <c r="L2" i="11"/>
  <c r="L2" i="7"/>
  <c r="L2" i="6"/>
  <c r="N12" i="6"/>
  <c r="N13" i="6" s="1"/>
  <c r="N3" i="5"/>
  <c r="H73" i="19"/>
  <c r="N3" i="15"/>
  <c r="N3" i="10"/>
  <c r="N3" i="14"/>
  <c r="N3" i="6"/>
  <c r="N3" i="13"/>
  <c r="N3" i="11"/>
  <c r="N3" i="12"/>
  <c r="N3" i="8"/>
  <c r="N3" i="9"/>
  <c r="N3" i="7"/>
  <c r="M2" i="11"/>
  <c r="M2" i="5"/>
  <c r="E62" i="19"/>
  <c r="M2" i="15"/>
  <c r="M2" i="12"/>
  <c r="M2" i="14"/>
  <c r="M2" i="8"/>
  <c r="M2" i="7"/>
  <c r="M2" i="13"/>
  <c r="M2" i="10"/>
  <c r="M2" i="9"/>
  <c r="M2" i="6"/>
  <c r="N4" i="15"/>
  <c r="N4" i="5"/>
  <c r="G83" i="19"/>
  <c r="N4" i="14"/>
  <c r="N4" i="13"/>
  <c r="N4" i="11"/>
  <c r="N4" i="12"/>
  <c r="N4" i="10"/>
  <c r="N4" i="9"/>
  <c r="N4" i="8"/>
  <c r="N4" i="7"/>
  <c r="N4" i="6"/>
  <c r="N2" i="5" l="1"/>
  <c r="E63" i="19"/>
  <c r="N2" i="15"/>
  <c r="N2" i="13"/>
  <c r="N2" i="12"/>
  <c r="N2" i="14"/>
  <c r="N2" i="8"/>
  <c r="N2" i="7"/>
  <c r="N2" i="10"/>
  <c r="N2" i="9"/>
  <c r="N2" i="11"/>
  <c r="N2" i="6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 s="1"/>
  <c r="P33" i="6"/>
  <c r="P34" i="6" s="1"/>
  <c r="P22" i="6"/>
  <c r="P23" i="6" s="1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E104" i="19"/>
  <c r="O12" i="6"/>
  <c r="O13" i="6" s="1"/>
  <c r="O3" i="5"/>
  <c r="H74" i="19"/>
  <c r="O3" i="15"/>
  <c r="O3" i="13"/>
  <c r="O3" i="14"/>
  <c r="O3" i="11"/>
  <c r="O3" i="12"/>
  <c r="O3" i="8"/>
  <c r="O3" i="10"/>
  <c r="O3" i="9"/>
  <c r="O3" i="6"/>
  <c r="O3" i="7"/>
  <c r="O2" i="5" l="1"/>
  <c r="E64" i="19"/>
  <c r="O2" i="14"/>
  <c r="O2" i="10"/>
  <c r="O2" i="9"/>
  <c r="O2" i="13"/>
  <c r="O2" i="15"/>
  <c r="O2" i="11"/>
  <c r="O2" i="12"/>
  <c r="O2" i="6"/>
  <c r="O2" i="8"/>
  <c r="O2" i="7"/>
  <c r="Q5" i="5"/>
  <c r="G96" i="19"/>
  <c r="Q5" i="15"/>
  <c r="Q5" i="14"/>
  <c r="Q5" i="11"/>
  <c r="Q5" i="10"/>
  <c r="Q5" i="9"/>
  <c r="Q5" i="13"/>
  <c r="Q5" i="12"/>
  <c r="Q5" i="7"/>
  <c r="Q17" i="6"/>
  <c r="Q18" i="6" s="1"/>
  <c r="Q33" i="6"/>
  <c r="Q34" i="6" s="1"/>
  <c r="Q22" i="6"/>
  <c r="Q23" i="6" s="1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 s="1"/>
  <c r="P3" i="15"/>
  <c r="P3" i="5"/>
  <c r="H75" i="19"/>
  <c r="P3" i="14"/>
  <c r="P3" i="13"/>
  <c r="P3" i="11"/>
  <c r="P3" i="12"/>
  <c r="P3" i="10"/>
  <c r="P3" i="9"/>
  <c r="P3" i="6"/>
  <c r="P3" i="8"/>
  <c r="P3" i="7"/>
  <c r="Q4" i="11" l="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 s="1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R5" i="5"/>
  <c r="G97" i="19"/>
  <c r="R5" i="11"/>
  <c r="R5" i="10"/>
  <c r="R5" i="13"/>
  <c r="R5" i="6"/>
  <c r="R5" i="12"/>
  <c r="R5" i="15"/>
  <c r="R5" i="14"/>
  <c r="R5" i="8"/>
  <c r="R5" i="7"/>
  <c r="R17" i="6"/>
  <c r="R18" i="6" s="1"/>
  <c r="R33" i="6"/>
  <c r="R34" i="6" s="1"/>
  <c r="R22" i="6"/>
  <c r="R23" i="6" s="1"/>
  <c r="R5" i="9"/>
  <c r="S27" i="6"/>
  <c r="Q2" i="5" l="1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 s="1"/>
  <c r="S5" i="8"/>
  <c r="S5" i="11"/>
  <c r="S5" i="10"/>
  <c r="S5" i="9"/>
  <c r="S22" i="6"/>
  <c r="S23" i="6" s="1"/>
  <c r="S5" i="6"/>
  <c r="S5" i="7"/>
  <c r="S17" i="6"/>
  <c r="S18" i="6" s="1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 s="1"/>
  <c r="R3" i="14"/>
  <c r="R3" i="12"/>
  <c r="R3" i="5"/>
  <c r="H77" i="19"/>
  <c r="R3" i="13"/>
  <c r="R3" i="11"/>
  <c r="R3" i="8"/>
  <c r="R3" i="10"/>
  <c r="R3" i="9"/>
  <c r="R3" i="15"/>
  <c r="R3" i="7"/>
  <c r="R3" i="6"/>
  <c r="S4" i="5" l="1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 s="1"/>
  <c r="S2" i="15" l="1"/>
  <c r="S2" i="5"/>
  <c r="E68" i="19"/>
  <c r="S2" i="11"/>
  <c r="S2" i="12"/>
  <c r="S2" i="8"/>
  <c r="S2" i="7"/>
  <c r="S2" i="14"/>
  <c r="S2" i="10"/>
  <c r="S2" i="9"/>
  <c r="S2" i="13"/>
  <c r="S2" i="6"/>
  <c r="F10" i="9" l="1"/>
  <c r="G14" i="19"/>
  <c r="F10" i="16" l="1"/>
  <c r="G21" i="19"/>
  <c r="F26" i="16"/>
  <c r="F16" i="9"/>
  <c r="F9" i="9"/>
  <c r="F11" i="9" s="1"/>
  <c r="G15" i="19"/>
  <c r="F21" i="12" l="1"/>
  <c r="F24" i="12" s="1"/>
  <c r="G37" i="19"/>
  <c r="F10" i="7"/>
  <c r="F11" i="7" s="1"/>
  <c r="F63" i="14"/>
  <c r="F64" i="14" s="1"/>
  <c r="F56" i="11"/>
  <c r="F57" i="11" s="1"/>
  <c r="F56" i="14"/>
  <c r="F57" i="14" s="1"/>
  <c r="F16" i="8"/>
  <c r="F17" i="8" s="1"/>
  <c r="F70" i="14"/>
  <c r="F71" i="14" s="1"/>
  <c r="F35" i="14"/>
  <c r="F36" i="14" s="1"/>
  <c r="F10" i="8"/>
  <c r="F11" i="8" s="1"/>
  <c r="F51" i="9"/>
  <c r="F52" i="9" s="1"/>
  <c r="F12" i="11"/>
  <c r="F13" i="11" s="1"/>
  <c r="F77" i="14"/>
  <c r="F78" i="14" s="1"/>
  <c r="F42" i="14"/>
  <c r="F43" i="14" s="1"/>
  <c r="G138" i="19"/>
  <c r="F21" i="14"/>
  <c r="F22" i="14" s="1"/>
  <c r="F34" i="11"/>
  <c r="F35" i="11" s="1"/>
  <c r="F10" i="10"/>
  <c r="F11" i="10" s="1"/>
  <c r="F16" i="7"/>
  <c r="F17" i="7" s="1"/>
  <c r="F29" i="9"/>
  <c r="F30" i="9" s="1"/>
  <c r="F58" i="7"/>
  <c r="F59" i="7" s="1"/>
  <c r="F49" i="14"/>
  <c r="F50" i="14" s="1"/>
  <c r="F28" i="14"/>
  <c r="F29" i="14" s="1"/>
  <c r="C4" i="18"/>
  <c r="D4" i="18"/>
  <c r="D4" i="17"/>
  <c r="C4" i="17"/>
  <c r="F85" i="14" l="1"/>
  <c r="G173" i="19"/>
  <c r="F116" i="14"/>
  <c r="F90" i="14"/>
  <c r="F146" i="14"/>
  <c r="G178" i="19"/>
  <c r="G150" i="19"/>
  <c r="F18" i="11"/>
  <c r="G144" i="19"/>
  <c r="F57" i="9"/>
  <c r="F28" i="8"/>
  <c r="G126" i="19"/>
  <c r="G172" i="19"/>
  <c r="F84" i="14"/>
  <c r="F110" i="14"/>
  <c r="F89" i="14"/>
  <c r="G177" i="19"/>
  <c r="F140" i="14"/>
  <c r="G171" i="19"/>
  <c r="F83" i="14"/>
  <c r="F104" i="14"/>
  <c r="F22" i="8"/>
  <c r="F27" i="8"/>
  <c r="G127" i="19"/>
  <c r="G174" i="19"/>
  <c r="F86" i="14"/>
  <c r="F122" i="14"/>
  <c r="F87" i="14"/>
  <c r="G175" i="19"/>
  <c r="F128" i="14"/>
  <c r="F64" i="7"/>
  <c r="G117" i="19"/>
  <c r="F62" i="11"/>
  <c r="G156" i="19"/>
  <c r="G141" i="19"/>
  <c r="F35" i="9"/>
  <c r="G176" i="19"/>
  <c r="F88" i="14"/>
  <c r="F134" i="14"/>
  <c r="G110" i="19"/>
  <c r="F27" i="7"/>
  <c r="F22" i="7"/>
  <c r="G109" i="19"/>
  <c r="F28" i="7"/>
  <c r="F16" i="10"/>
  <c r="G147" i="19"/>
  <c r="G170" i="19"/>
  <c r="F82" i="14"/>
  <c r="F98" i="14"/>
  <c r="F40" i="11"/>
  <c r="G153" i="19"/>
  <c r="G163" i="19"/>
  <c r="F36" i="12"/>
  <c r="F29" i="7" l="1"/>
  <c r="F29" i="8"/>
  <c r="F91" i="14"/>
  <c r="F127" i="14" l="1"/>
  <c r="F129" i="14" s="1"/>
  <c r="F109" i="14"/>
  <c r="F111" i="14" s="1"/>
  <c r="G179" i="19"/>
  <c r="F103" i="14"/>
  <c r="F105" i="14" s="1"/>
  <c r="F97" i="14"/>
  <c r="F99" i="14" s="1"/>
  <c r="F145" i="14"/>
  <c r="F147" i="14" s="1"/>
  <c r="F115" i="14"/>
  <c r="F117" i="14" s="1"/>
  <c r="F139" i="14"/>
  <c r="F141" i="14" s="1"/>
  <c r="F121" i="14"/>
  <c r="F123" i="14" s="1"/>
  <c r="F133" i="14"/>
  <c r="F135" i="14" s="1"/>
  <c r="F40" i="8"/>
  <c r="F129" i="19"/>
  <c r="F112" i="19"/>
  <c r="F40" i="7"/>
  <c r="G186" i="19" l="1"/>
  <c r="F189" i="14"/>
  <c r="F177" i="14"/>
  <c r="G184" i="19"/>
  <c r="F195" i="14"/>
  <c r="G187" i="19"/>
  <c r="G183" i="19"/>
  <c r="F171" i="14"/>
  <c r="F201" i="14"/>
  <c r="G188" i="19"/>
  <c r="G180" i="19"/>
  <c r="F153" i="14"/>
  <c r="G181" i="19"/>
  <c r="F159" i="14"/>
  <c r="G182" i="19"/>
  <c r="F165" i="14"/>
  <c r="G185" i="19"/>
  <c r="F183" i="14"/>
  <c r="G36" i="19" l="1"/>
  <c r="F16" i="12"/>
  <c r="G35" i="19"/>
  <c r="F15" i="12"/>
  <c r="F17" i="12" s="1"/>
  <c r="F58" i="8" l="1"/>
  <c r="F63" i="11"/>
  <c r="F65" i="7"/>
  <c r="F16" i="13"/>
  <c r="F19" i="11"/>
  <c r="F21" i="11" s="1"/>
  <c r="G162" i="19"/>
  <c r="F78" i="7"/>
  <c r="F36" i="9"/>
  <c r="F98" i="7"/>
  <c r="F41" i="11"/>
  <c r="F29" i="12"/>
  <c r="F17" i="10"/>
  <c r="F58" i="9"/>
  <c r="F25" i="11" l="1"/>
  <c r="G151" i="19"/>
  <c r="F15" i="13" l="1"/>
  <c r="F17" i="13" s="1"/>
  <c r="F32" i="19"/>
  <c r="F167" i="19" l="1"/>
  <c r="F22" i="13"/>
  <c r="F34" i="7" l="1"/>
  <c r="G5" i="19"/>
  <c r="F46" i="7"/>
  <c r="F21" i="7" l="1"/>
  <c r="F23" i="7" s="1"/>
  <c r="G7" i="19"/>
  <c r="F33" i="7"/>
  <c r="F35" i="7" s="1"/>
  <c r="F113" i="19" l="1"/>
  <c r="F39" i="7"/>
  <c r="F41" i="7" s="1"/>
  <c r="F77" i="7"/>
  <c r="F80" i="7" s="1"/>
  <c r="F97" i="7"/>
  <c r="F100" i="7" s="1"/>
  <c r="F51" i="7"/>
  <c r="G111" i="19"/>
  <c r="F91" i="7"/>
  <c r="G123" i="19" l="1"/>
  <c r="F104" i="7"/>
  <c r="F84" i="7"/>
  <c r="G120" i="19"/>
  <c r="F45" i="7"/>
  <c r="F47" i="7" s="1"/>
  <c r="F114" i="19"/>
  <c r="F52" i="7" l="1"/>
  <c r="F53" i="7" s="1"/>
  <c r="G115" i="19"/>
  <c r="F90" i="7" l="1"/>
  <c r="G116" i="19"/>
  <c r="G13" i="19" l="1"/>
  <c r="F46" i="8"/>
  <c r="F34" i="8"/>
  <c r="F56" i="9" l="1"/>
  <c r="F60" i="9" s="1"/>
  <c r="G20" i="19"/>
  <c r="G145" i="19" l="1"/>
  <c r="F64" i="9"/>
  <c r="G30" i="19" l="1"/>
  <c r="F61" i="11"/>
  <c r="F65" i="11" s="1"/>
  <c r="G157" i="19" l="1"/>
  <c r="F69" i="11"/>
  <c r="G11" i="19" l="1"/>
  <c r="F33" i="8"/>
  <c r="F35" i="8" s="1"/>
  <c r="F21" i="8"/>
  <c r="F23" i="8" s="1"/>
  <c r="G128" i="19" l="1"/>
  <c r="F51" i="8"/>
  <c r="F71" i="8"/>
  <c r="F78" i="8"/>
  <c r="F57" i="8"/>
  <c r="F60" i="8" s="1"/>
  <c r="F39" i="8"/>
  <c r="F41" i="8" s="1"/>
  <c r="F130" i="19"/>
  <c r="F45" i="8" l="1"/>
  <c r="F47" i="8" s="1"/>
  <c r="F131" i="19"/>
  <c r="G134" i="19"/>
  <c r="F64" i="8"/>
  <c r="F77" i="8" l="1"/>
  <c r="F52" i="8"/>
  <c r="F53" i="8" s="1"/>
  <c r="G132" i="19"/>
  <c r="G133" i="19" l="1"/>
  <c r="F70" i="8"/>
  <c r="F20" i="5" l="1"/>
  <c r="G18" i="19"/>
  <c r="F34" i="9"/>
  <c r="F38" i="9" s="1"/>
  <c r="G142" i="19" l="1"/>
  <c r="F43" i="9"/>
  <c r="F63" i="7"/>
  <c r="F67" i="7" s="1"/>
  <c r="G9" i="19"/>
  <c r="F72" i="7" l="1"/>
  <c r="G118" i="19"/>
  <c r="G24" i="19" l="1"/>
  <c r="F15" i="10"/>
  <c r="F19" i="10" s="1"/>
  <c r="F21" i="13" l="1"/>
  <c r="F25" i="13" s="1"/>
  <c r="G16" i="19"/>
  <c r="G148" i="19"/>
  <c r="F23" i="10"/>
  <c r="F19" i="16" l="1"/>
  <c r="C13" i="17" s="1"/>
  <c r="F21" i="15"/>
  <c r="F22" i="9"/>
  <c r="F40" i="16"/>
  <c r="C17" i="18" s="1"/>
  <c r="G168" i="19"/>
  <c r="G38" i="19" l="1"/>
  <c r="F28" i="12"/>
  <c r="F31" i="12" s="1"/>
  <c r="G164" i="19" l="1"/>
  <c r="F35" i="12"/>
  <c r="F37" i="12" s="1"/>
  <c r="F20" i="15" l="1"/>
  <c r="F18" i="16"/>
  <c r="C12" i="17" s="1"/>
  <c r="G165" i="19"/>
  <c r="F39" i="16"/>
  <c r="C16" i="18" s="1"/>
  <c r="F23" i="9"/>
  <c r="F15" i="9" l="1"/>
  <c r="F17" i="9" s="1"/>
  <c r="F20" i="16"/>
  <c r="C16" i="17" s="1"/>
  <c r="F41" i="16"/>
  <c r="C20" i="18" s="1"/>
  <c r="G22" i="19"/>
  <c r="G139" i="19" l="1"/>
  <c r="F21" i="9"/>
  <c r="F24" i="9" s="1"/>
  <c r="G140" i="19" l="1"/>
  <c r="F85" i="11"/>
  <c r="F71" i="7"/>
  <c r="F73" i="7" s="1"/>
  <c r="F42" i="9"/>
  <c r="F44" i="9" s="1"/>
  <c r="F105" i="7" l="1"/>
  <c r="F106" i="7" s="1"/>
  <c r="F65" i="8"/>
  <c r="F66" i="8" s="1"/>
  <c r="F48" i="11"/>
  <c r="F24" i="10"/>
  <c r="F25" i="10" s="1"/>
  <c r="G143" i="19"/>
  <c r="F65" i="9"/>
  <c r="F66" i="9" s="1"/>
  <c r="F70" i="11"/>
  <c r="F71" i="11" s="1"/>
  <c r="F26" i="11"/>
  <c r="F27" i="11" s="1"/>
  <c r="G119" i="19"/>
  <c r="F85" i="7"/>
  <c r="F86" i="7" s="1"/>
  <c r="G121" i="19" l="1"/>
  <c r="F92" i="7"/>
  <c r="F93" i="7" s="1"/>
  <c r="F87" i="11"/>
  <c r="G152" i="19"/>
  <c r="F77" i="11"/>
  <c r="G158" i="19"/>
  <c r="F79" i="11"/>
  <c r="F92" i="11"/>
  <c r="F88" i="11"/>
  <c r="G146" i="19"/>
  <c r="F15" i="16"/>
  <c r="C9" i="17" s="1"/>
  <c r="F36" i="16"/>
  <c r="C13" i="18" s="1"/>
  <c r="F15" i="15"/>
  <c r="F17" i="15"/>
  <c r="F16" i="16"/>
  <c r="C10" i="17" s="1"/>
  <c r="F91" i="11"/>
  <c r="F37" i="16"/>
  <c r="C14" i="18" s="1"/>
  <c r="G149" i="19"/>
  <c r="F89" i="11"/>
  <c r="G135" i="19"/>
  <c r="F79" i="8"/>
  <c r="F80" i="8" s="1"/>
  <c r="F72" i="8"/>
  <c r="F73" i="8" s="1"/>
  <c r="F86" i="11"/>
  <c r="G124" i="19"/>
  <c r="F110" i="7"/>
  <c r="F12" i="15" l="1"/>
  <c r="G136" i="19"/>
  <c r="F11" i="14"/>
  <c r="F13" i="16"/>
  <c r="C7" i="17" s="1"/>
  <c r="F12" i="14"/>
  <c r="G137" i="19"/>
  <c r="F13" i="15"/>
  <c r="F14" i="16"/>
  <c r="C8" i="17" s="1"/>
  <c r="F9" i="14"/>
  <c r="F11" i="16"/>
  <c r="C5" i="17" s="1"/>
  <c r="F9" i="15"/>
  <c r="F111" i="7"/>
  <c r="F112" i="7" s="1"/>
  <c r="G122" i="19"/>
  <c r="I5" i="17" l="1"/>
  <c r="H5" i="17" s="1"/>
  <c r="F5" i="17"/>
  <c r="G5" i="17" s="1"/>
  <c r="E5" i="17"/>
  <c r="G125" i="19"/>
  <c r="F10" i="14"/>
  <c r="F13" i="14" s="1"/>
  <c r="F12" i="16"/>
  <c r="C6" i="17" s="1"/>
  <c r="I6" i="17" s="1"/>
  <c r="H6" i="17" s="1"/>
  <c r="F10" i="15"/>
  <c r="E9" i="17" l="1"/>
  <c r="F10" i="17"/>
  <c r="G10" i="17" s="1"/>
  <c r="E10" i="17"/>
  <c r="F190" i="14"/>
  <c r="F191" i="14" s="1"/>
  <c r="F178" i="14"/>
  <c r="F179" i="14" s="1"/>
  <c r="F154" i="14"/>
  <c r="F155" i="14" s="1"/>
  <c r="G169" i="19"/>
  <c r="F202" i="14"/>
  <c r="F203" i="14" s="1"/>
  <c r="F160" i="14"/>
  <c r="F161" i="14" s="1"/>
  <c r="F166" i="14"/>
  <c r="F167" i="14" s="1"/>
  <c r="F196" i="14"/>
  <c r="F197" i="14" s="1"/>
  <c r="F172" i="14"/>
  <c r="F173" i="14" s="1"/>
  <c r="F184" i="14"/>
  <c r="F185" i="14" s="1"/>
  <c r="I10" i="17"/>
  <c r="H10" i="17" s="1"/>
  <c r="I7" i="17"/>
  <c r="H7" i="17" s="1"/>
  <c r="E7" i="17"/>
  <c r="F8" i="17"/>
  <c r="G8" i="17" s="1"/>
  <c r="F9" i="17"/>
  <c r="G9" i="17" s="1"/>
  <c r="F6" i="17"/>
  <c r="G6" i="17" s="1"/>
  <c r="E8" i="17"/>
  <c r="E6" i="17"/>
  <c r="I8" i="17"/>
  <c r="H8" i="17" s="1"/>
  <c r="F7" i="17"/>
  <c r="G7" i="17" s="1"/>
  <c r="I9" i="17"/>
  <c r="H9" i="17" s="1"/>
  <c r="F32" i="16" l="1"/>
  <c r="C10" i="18" s="1"/>
  <c r="G194" i="19"/>
  <c r="G192" i="19"/>
  <c r="F30" i="16"/>
  <c r="C8" i="18" s="1"/>
  <c r="G196" i="19"/>
  <c r="F34" i="16"/>
  <c r="G191" i="19"/>
  <c r="F29" i="16"/>
  <c r="C7" i="18" s="1"/>
  <c r="F28" i="16"/>
  <c r="C6" i="18" s="1"/>
  <c r="G190" i="19"/>
  <c r="F35" i="16"/>
  <c r="C12" i="18" s="1"/>
  <c r="G197" i="19"/>
  <c r="F27" i="16"/>
  <c r="C5" i="18" s="1"/>
  <c r="G189" i="19"/>
  <c r="G193" i="19"/>
  <c r="F31" i="16"/>
  <c r="C9" i="18" s="1"/>
  <c r="G195" i="19"/>
  <c r="F33" i="16"/>
  <c r="I7" i="18" l="1"/>
  <c r="H7" i="18" s="1"/>
  <c r="E8" i="18"/>
  <c r="F7" i="18"/>
  <c r="G7" i="18" s="1"/>
  <c r="E6" i="18"/>
  <c r="I5" i="18"/>
  <c r="H5" i="18" s="1"/>
  <c r="I6" i="18"/>
  <c r="H6" i="18" s="1"/>
  <c r="E9" i="18"/>
  <c r="F9" i="18"/>
  <c r="G9" i="18" s="1"/>
  <c r="F6" i="18"/>
  <c r="G6" i="18" s="1"/>
  <c r="E5" i="18"/>
  <c r="E10" i="18"/>
  <c r="F10" i="18"/>
  <c r="G10" i="18" s="1"/>
  <c r="I9" i="18"/>
  <c r="H9" i="18" s="1"/>
  <c r="F8" i="18"/>
  <c r="G8" i="18" s="1"/>
  <c r="I10" i="18"/>
  <c r="H10" i="18" s="1"/>
  <c r="I8" i="18"/>
  <c r="H8" i="18" s="1"/>
  <c r="F5" i="18"/>
  <c r="G5" i="18" s="1"/>
  <c r="E7" i="18"/>
  <c r="C11" i="18"/>
  <c r="I14" i="18" s="1"/>
  <c r="H14" i="18" s="1"/>
  <c r="E11" i="18" l="1"/>
  <c r="I13" i="18"/>
  <c r="H13" i="18" s="1"/>
  <c r="F14" i="18"/>
  <c r="G14" i="18" s="1"/>
  <c r="E14" i="18"/>
  <c r="F12" i="18"/>
  <c r="G12" i="18" s="1"/>
  <c r="E12" i="18"/>
  <c r="F13" i="18"/>
  <c r="G13" i="18" s="1"/>
  <c r="I11" i="18"/>
  <c r="H11" i="18" s="1"/>
  <c r="F11" i="18"/>
  <c r="G11" i="18" s="1"/>
  <c r="I12" i="18"/>
  <c r="H12" i="18" s="1"/>
  <c r="E13" i="18"/>
  <c r="F39" i="11" l="1"/>
  <c r="F43" i="11" s="1"/>
  <c r="G28" i="19"/>
  <c r="G154" i="19" l="1"/>
  <c r="F47" i="11"/>
  <c r="F49" i="11" s="1"/>
  <c r="F78" i="11" l="1"/>
  <c r="G155" i="19"/>
  <c r="F90" i="11"/>
  <c r="F93" i="11" s="1"/>
  <c r="G160" i="19" l="1"/>
  <c r="F80" i="11"/>
  <c r="F81" i="11" s="1"/>
  <c r="F18" i="15" l="1"/>
  <c r="F38" i="16"/>
  <c r="C15" i="18" s="1"/>
  <c r="G159" i="19"/>
  <c r="F17" i="16"/>
  <c r="C11" i="17" s="1"/>
  <c r="F13" i="17" l="1"/>
  <c r="G13" i="17" s="1"/>
  <c r="E13" i="17"/>
  <c r="E11" i="17"/>
  <c r="E12" i="17"/>
  <c r="F12" i="17"/>
  <c r="G12" i="17" s="1"/>
  <c r="F11" i="17"/>
  <c r="G11" i="17" s="1"/>
  <c r="I12" i="17"/>
  <c r="H12" i="17" s="1"/>
  <c r="D14" i="17"/>
  <c r="C17" i="17" s="1"/>
  <c r="I13" i="17"/>
  <c r="H13" i="17" s="1"/>
  <c r="I11" i="17"/>
  <c r="H11" i="17" s="1"/>
  <c r="E16" i="18"/>
  <c r="I15" i="18"/>
  <c r="H15" i="18" s="1"/>
  <c r="D18" i="18"/>
  <c r="C21" i="18" s="1"/>
  <c r="F16" i="18"/>
  <c r="G16" i="18" s="1"/>
  <c r="E17" i="18"/>
  <c r="E15" i="18"/>
  <c r="I17" i="18"/>
  <c r="H17" i="18" s="1"/>
  <c r="F15" i="18"/>
  <c r="G15" i="18" s="1"/>
  <c r="I16" i="18"/>
  <c r="H16" i="18" s="1"/>
  <c r="F17" i="18"/>
  <c r="G17" i="18" s="1"/>
</calcChain>
</file>

<file path=xl/sharedStrings.xml><?xml version="1.0" encoding="utf-8"?>
<sst xmlns="http://schemas.openxmlformats.org/spreadsheetml/2006/main" count="996" uniqueCount="374">
  <si>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</si>
  <si>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</si>
  <si>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</si>
  <si>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</si>
  <si>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</si>
  <si>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</si>
  <si>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</si>
  <si>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</si>
  <si>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</si>
  <si>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</si>
  <si>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</si>
  <si>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</si>
  <si>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</si>
  <si>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</si>
  <si>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</si>
  <si>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</si>
  <si>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</si>
  <si>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</si>
  <si>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</si>
  <si>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</si>
  <si>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</si>
  <si>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</si>
  <si>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</si>
  <si>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</si>
  <si>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</si>
  <si>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</si>
  <si>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</si>
  <si>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</si>
  <si>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</si>
  <si>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</si>
  <si>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</si>
  <si>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</si>
  <si>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</si>
  <si>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</si>
  <si>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</si>
  <si>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</si>
  <si>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</si>
  <si>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</si>
  <si>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</si>
  <si>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</si>
  <si>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</si>
  <si>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</si>
  <si>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</si>
  <si>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</si>
  <si>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</si>
  <si>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</si>
  <si>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</si>
  <si>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</si>
  <si>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</si>
  <si>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</si>
  <si>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</si>
  <si>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</si>
  <si>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</si>
  <si>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</si>
  <si>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</si>
  <si>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</si>
  <si>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</si>
  <si>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</si>
  <si>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</si>
  <si>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</si>
  <si>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</si>
  <si>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</si>
  <si>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</si>
  <si>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</si>
  <si>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</si>
  <si>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</si>
  <si>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</si>
  <si>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</si>
  <si>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</si>
  <si>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</si>
  <si>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</si>
  <si>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</si>
  <si>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</si>
  <si>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</si>
  <si>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</si>
  <si>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</si>
  <si>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</si>
  <si>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</si>
  <si>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</si>
  <si>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</si>
  <si>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</si>
  <si>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</si>
  <si>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</si>
  <si>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</si>
  <si>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</si>
  <si>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</si>
  <si>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</si>
  <si>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</si>
  <si>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</si>
  <si>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</si>
  <si>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</si>
  <si>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</si>
  <si>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</si>
  <si>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</si>
  <si>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</si>
  <si>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</si>
  <si>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</si>
  <si>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</si>
  <si>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</si>
  <si>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</si>
  <si>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</si>
  <si>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</si>
  <si>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</si>
  <si>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</si>
  <si>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</si>
  <si>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</si>
  <si>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</si>
  <si>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</si>
  <si>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</si>
  <si>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</si>
  <si>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</si>
  <si>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</si>
  <si>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</si>
  <si>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</si>
  <si>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</si>
  <si>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</si>
  <si>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</si>
  <si>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</si>
  <si>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</si>
  <si>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</si>
  <si>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</si>
  <si>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</si>
  <si>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</si>
  <si>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</si>
  <si>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</si>
  <si>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</si>
  <si>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</si>
  <si>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</si>
  <si>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</si>
  <si>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</si>
  <si>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</si>
  <si>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</si>
  <si>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</si>
  <si>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</si>
  <si>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</si>
  <si>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</si>
  <si>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</si>
  <si>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</si>
  <si>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</si>
  <si>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</si>
  <si>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</si>
  <si>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</si>
  <si>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</si>
  <si>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</si>
  <si>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</si>
  <si>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</si>
  <si>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</si>
  <si>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</si>
  <si>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</si>
  <si>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</si>
  <si>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</si>
  <si>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</si>
  <si>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</si>
  <si>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</si>
  <si>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</si>
  <si>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</si>
  <si>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</si>
  <si>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</si>
  <si>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</si>
  <si>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</si>
  <si>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</si>
  <si>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</si>
  <si>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</si>
  <si>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</si>
  <si>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</si>
  <si>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</si>
  <si>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</si>
  <si>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</si>
  <si>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</si>
  <si>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</si>
  <si>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</si>
  <si>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</si>
  <si>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</si>
  <si>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</si>
  <si>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</si>
  <si>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</si>
  <si>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</si>
  <si>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</si>
  <si>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</si>
  <si>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</si>
  <si>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</si>
  <si>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</si>
  <si>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</si>
  <si>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</si>
  <si>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</si>
  <si>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</si>
  <si>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</si>
  <si>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</si>
  <si>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</si>
  <si>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</si>
  <si>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</si>
  <si>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</si>
  <si>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</si>
  <si>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</si>
  <si>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</si>
  <si>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</si>
  <si>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</si>
  <si>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</si>
  <si>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</si>
  <si>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</si>
  <si>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</si>
  <si>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</si>
  <si>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</si>
  <si>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</si>
  <si>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</si>
  <si>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</si>
  <si>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</si>
  <si>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Actual combined bills PR24</t>
  </si>
  <si>
    <t>Balance check: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</si>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</sst>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</numFmts>
  <fonts count="44" x14ac:knownFonts="1">
    <font>
      <sz val="8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6">
    <xf numFmtId="165" fontId="0" fillId="0" borderId="0" applyFont="0" applyFill="0" applyBorder="0" applyProtection="0">
      <alignment vertical="top"/>
    </xf>
    <xf numFmtId="165" fontId="1" fillId="0" borderId="0" applyBorder="0">
      <alignment vertical="top"/>
    </xf>
    <xf numFmtId="169" fontId="1" fillId="0" borderId="0" applyBorder="0">
      <alignment vertical="top"/>
    </xf>
    <xf numFmtId="165" fontId="1" fillId="0" borderId="0" applyBorder="0">
      <alignment vertical="top"/>
    </xf>
    <xf numFmtId="167" fontId="1" fillId="0" borderId="0" applyBorder="0">
      <alignment vertical="top"/>
    </xf>
    <xf numFmtId="166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168" fontId="1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" fillId="2" borderId="1" applyProtection="0">
      <alignment vertical="top"/>
    </xf>
    <xf numFmtId="165" fontId="5" fillId="2" borderId="1" applyProtection="0">
      <alignment vertical="top"/>
    </xf>
    <xf numFmtId="164" fontId="5" fillId="2" borderId="1" applyProtection="0">
      <alignment vertical="top"/>
    </xf>
    <xf numFmtId="165" fontId="5" fillId="2" borderId="1" applyProtection="0">
      <alignment vertical="top"/>
    </xf>
    <xf numFmtId="165" fontId="1" fillId="0" borderId="0" applyFont="0" applyFill="0" applyBorder="0" applyProtection="0">
      <alignment vertical="top"/>
    </xf>
    <xf numFmtId="165" fontId="6" fillId="0" borderId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1" fillId="0" borderId="0" applyFont="0" applyFill="0" applyBorder="0" applyProtection="0">
      <alignment vertical="top"/>
    </xf>
    <xf numFmtId="0" fontId="7" fillId="0" borderId="0"/>
    <xf numFmtId="173" fontId="40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165" fontId="40" fillId="0" borderId="2" applyNumberFormat="0" applyFont="0" applyFill="0" applyAlignment="0">
      <alignment vertical="top"/>
    </xf>
    <xf numFmtId="165" fontId="40" fillId="0" borderId="3" applyNumberFormat="0" applyFont="0" applyFill="0" applyAlignment="0">
      <alignment vertical="top"/>
    </xf>
    <xf numFmtId="166" fontId="1" fillId="0" borderId="0" applyBorder="0">
      <alignment vertical="top"/>
    </xf>
    <xf numFmtId="9" fontId="1" fillId="0" borderId="0" applyBorder="0">
      <alignment vertical="top"/>
    </xf>
    <xf numFmtId="166" fontId="1" fillId="0" borderId="0" applyBorder="0">
      <alignment vertical="top"/>
    </xf>
    <xf numFmtId="167" fontId="5" fillId="0" borderId="0" applyBorder="0">
      <alignment vertical="top"/>
    </xf>
    <xf numFmtId="165" fontId="8" fillId="0" borderId="0" applyAlignment="0">
      <alignment vertical="top"/>
    </xf>
    <xf numFmtId="165" fontId="8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71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1" fontId="6" fillId="0" borderId="0" applyFont="0" applyFill="0" applyBorder="0" applyProtection="0">
      <alignment vertical="top"/>
    </xf>
  </cellStyleXfs>
  <cellXfs count="105">
    <xf numFmtId="165" fontId="0" fillId="0" borderId="0" xfId="0">
      <alignment vertical="top"/>
    </xf>
    <xf numFmtId="166" fontId="9" fillId="0" borderId="0" xfId="5" applyFont="1">
      <alignment vertical="top"/>
    </xf>
    <xf numFmtId="167" fontId="8" fillId="0" borderId="0" xfId="9" applyFont="1">
      <alignment vertical="top"/>
    </xf>
    <xf numFmtId="166" fontId="9" fillId="3" borderId="0" xfId="5" applyFont="1" applyFill="1" applyAlignment="1">
      <alignment horizontal="right" vertical="top"/>
    </xf>
    <xf numFmtId="165" fontId="10" fillId="4" borderId="0" xfId="19" applyFont="1" applyFill="1" applyAlignment="1">
      <alignment vertical="center"/>
    </xf>
    <xf numFmtId="165" fontId="11" fillId="5" borderId="0" xfId="0" applyFont="1" applyFill="1">
      <alignment vertical="top"/>
    </xf>
    <xf numFmtId="165" fontId="12" fillId="0" borderId="0" xfId="19" applyFont="1">
      <alignment vertical="top"/>
    </xf>
    <xf numFmtId="165" fontId="8" fillId="0" borderId="0" xfId="19" applyFont="1">
      <alignment vertical="top"/>
    </xf>
    <xf numFmtId="165" fontId="9" fillId="4" borderId="0" xfId="19" applyFont="1" applyFill="1">
      <alignment vertical="top"/>
    </xf>
    <xf numFmtId="165" fontId="9" fillId="0" borderId="0" xfId="19" applyFont="1">
      <alignment vertical="top"/>
    </xf>
    <xf numFmtId="171" fontId="9" fillId="0" borderId="0" xfId="5" applyNumberFormat="1" applyFont="1">
      <alignment vertical="top"/>
    </xf>
    <xf numFmtId="171" fontId="12" fillId="0" borderId="0" xfId="43" applyFont="1">
      <alignment vertical="top"/>
    </xf>
    <xf numFmtId="165" fontId="13" fillId="6" borderId="0" xfId="19" applyFont="1" applyFill="1" applyAlignment="1">
      <alignment horizontal="left" vertical="top"/>
    </xf>
    <xf numFmtId="165" fontId="14" fillId="0" borderId="0" xfId="19" applyFont="1">
      <alignment vertical="top"/>
    </xf>
    <xf numFmtId="167" fontId="15" fillId="0" borderId="0" xfId="9" applyFont="1">
      <alignment vertical="top"/>
    </xf>
    <xf numFmtId="172" fontId="9" fillId="7" borderId="0" xfId="0" applyNumberFormat="1" applyFont="1" applyFill="1" applyBorder="1" applyAlignment="1">
      <alignment horizontal="center" vertical="top"/>
    </xf>
    <xf numFmtId="167" fontId="12" fillId="0" borderId="0" xfId="8" applyFont="1">
      <alignment vertical="top"/>
    </xf>
    <xf numFmtId="165" fontId="16" fillId="6" borderId="0" xfId="19" applyFont="1" applyFill="1" applyAlignment="1">
      <alignment horizontal="right" vertical="top"/>
    </xf>
    <xf numFmtId="165" fontId="17" fillId="6" borderId="0" xfId="13" applyNumberFormat="1" applyFont="1" applyFill="1" applyAlignment="1">
      <alignment horizontal="center" vertical="center"/>
    </xf>
    <xf numFmtId="165" fontId="18" fillId="6" borderId="0" xfId="19" applyFont="1" applyFill="1">
      <alignment vertical="top"/>
    </xf>
    <xf numFmtId="165" fontId="16" fillId="6" borderId="0" xfId="19" applyFont="1" applyFill="1">
      <alignment vertical="top"/>
    </xf>
    <xf numFmtId="165" fontId="19" fillId="6" borderId="0" xfId="19" applyFont="1" applyFill="1">
      <alignment vertical="top"/>
    </xf>
    <xf numFmtId="165" fontId="12" fillId="0" borderId="0" xfId="19" applyFont="1" applyAlignment="1">
      <alignment horizontal="right" vertical="top"/>
    </xf>
    <xf numFmtId="165" fontId="20" fillId="0" borderId="0" xfId="19" applyFont="1">
      <alignment vertical="top"/>
    </xf>
    <xf numFmtId="165" fontId="21" fillId="0" borderId="0" xfId="19" applyFont="1">
      <alignment vertical="top"/>
    </xf>
    <xf numFmtId="165" fontId="22" fillId="6" borderId="0" xfId="0" applyFont="1" applyFill="1">
      <alignment vertical="top"/>
    </xf>
    <xf numFmtId="165" fontId="9" fillId="6" borderId="0" xfId="20" applyFont="1" applyFill="1">
      <alignment vertical="top"/>
    </xf>
    <xf numFmtId="165" fontId="23" fillId="0" borderId="4" xfId="0" applyFont="1" applyFill="1" applyBorder="1" applyAlignment="1">
      <alignment vertical="center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2" fillId="6" borderId="0" xfId="22" applyFont="1" applyFill="1" applyAlignment="1">
      <alignment vertical="center"/>
    </xf>
    <xf numFmtId="165" fontId="11" fillId="0" borderId="0" xfId="0" applyFont="1">
      <alignment vertical="top"/>
    </xf>
    <xf numFmtId="165" fontId="8" fillId="0" borderId="0" xfId="0" applyFont="1">
      <alignment vertical="top"/>
    </xf>
    <xf numFmtId="167" fontId="9" fillId="0" borderId="0" xfId="9" applyFont="1">
      <alignment vertical="top"/>
    </xf>
    <xf numFmtId="165" fontId="26" fillId="6" borderId="0" xfId="0" applyFont="1" applyFill="1" applyAlignment="1">
      <alignment horizontal="left" vertical="top"/>
    </xf>
    <xf numFmtId="165" fontId="25" fillId="9" borderId="4" xfId="0" applyFont="1" applyFill="1" applyBorder="1">
      <alignment vertical="top"/>
    </xf>
    <xf numFmtId="165" fontId="25" fillId="9" borderId="4" xfId="0" applyFont="1" applyFill="1" applyBorder="1" applyAlignment="1"/>
    <xf numFmtId="165" fontId="25" fillId="9" borderId="4" xfId="0" applyFont="1" applyFill="1" applyBorder="1" applyAlignment="1">
      <alignment vertical="center" wrapText="1"/>
    </xf>
    <xf numFmtId="165" fontId="27" fillId="6" borderId="0" xfId="13" applyNumberFormat="1" applyFont="1" applyFill="1" applyAlignment="1">
      <alignment horizontal="center" vertical="center"/>
    </xf>
    <xf numFmtId="165" fontId="25" fillId="9" borderId="4" xfId="0" applyFont="1" applyFill="1" applyBorder="1" applyAlignment="1">
      <alignment wrapText="1"/>
    </xf>
    <xf numFmtId="165" fontId="9" fillId="0" borderId="0" xfId="20" applyFont="1" applyFill="1">
      <alignment vertical="top"/>
    </xf>
    <xf numFmtId="165" fontId="25" fillId="5" borderId="4" xfId="0" applyFont="1" applyFill="1" applyBorder="1" applyAlignment="1">
      <alignment vertical="center"/>
    </xf>
    <xf numFmtId="165" fontId="28" fillId="6" borderId="0" xfId="0" applyFont="1" applyFill="1">
      <alignment vertical="top"/>
    </xf>
    <xf numFmtId="165" fontId="29" fillId="4" borderId="0" xfId="19" applyFont="1" applyFill="1" applyAlignment="1">
      <alignment vertical="center"/>
    </xf>
    <xf numFmtId="165" fontId="30" fillId="6" borderId="0" xfId="0" applyFont="1" applyFill="1">
      <alignment vertical="top"/>
    </xf>
    <xf numFmtId="165" fontId="9" fillId="0" borderId="0" xfId="19" applyFont="1" applyAlignment="1">
      <alignment horizontal="right" vertical="top"/>
    </xf>
    <xf numFmtId="165" fontId="12" fillId="0" borderId="0" xfId="0" applyFont="1">
      <alignment vertical="top"/>
    </xf>
    <xf numFmtId="165" fontId="25" fillId="9" borderId="4" xfId="0" applyFont="1" applyFill="1" applyBorder="1" applyAlignment="1">
      <alignment vertical="center"/>
    </xf>
    <xf numFmtId="165" fontId="14" fillId="0" borderId="0" xfId="0" applyFont="1">
      <alignment vertical="top"/>
    </xf>
    <xf numFmtId="165" fontId="30" fillId="6" borderId="0" xfId="0" applyFont="1" applyFill="1" applyAlignment="1">
      <alignment horizontal="right" vertical="top"/>
    </xf>
    <xf numFmtId="165" fontId="9" fillId="0" borderId="0" xfId="0" applyFont="1">
      <alignment vertical="top"/>
    </xf>
    <xf numFmtId="176" fontId="9" fillId="0" borderId="0" xfId="19" applyNumberFormat="1" applyFont="1">
      <alignment vertical="top"/>
    </xf>
    <xf numFmtId="165" fontId="31" fillId="6" borderId="0" xfId="0" applyFont="1" applyFill="1">
      <alignment vertical="top"/>
    </xf>
    <xf numFmtId="165" fontId="21" fillId="0" borderId="0" xfId="0" applyFont="1">
      <alignment vertical="top"/>
    </xf>
    <xf numFmtId="165" fontId="32" fillId="6" borderId="0" xfId="0" applyFont="1" applyFill="1">
      <alignment vertical="top"/>
    </xf>
    <xf numFmtId="165" fontId="9" fillId="0" borderId="0" xfId="19" applyFont="1" applyFill="1">
      <alignment vertical="top"/>
    </xf>
    <xf numFmtId="165" fontId="20" fillId="0" borderId="0" xfId="0" applyFont="1">
      <alignment vertical="top"/>
    </xf>
    <xf numFmtId="165" fontId="33" fillId="0" borderId="0" xfId="13" applyNumberFormat="1" applyFont="1" applyFill="1" applyAlignment="1">
      <alignment vertical="top"/>
    </xf>
    <xf numFmtId="165" fontId="34" fillId="0" borderId="0" xfId="0" applyFont="1">
      <alignment vertical="top"/>
    </xf>
    <xf numFmtId="175" fontId="9" fillId="0" borderId="0" xfId="20" applyNumberFormat="1" applyFont="1" applyFill="1" applyAlignment="1">
      <alignment horizontal="left" vertical="top"/>
    </xf>
    <xf numFmtId="165" fontId="9" fillId="0" borderId="0" xfId="20" applyFont="1" applyFill="1" applyAlignment="1">
      <alignment horizontal="left" vertical="center"/>
    </xf>
    <xf numFmtId="165" fontId="35" fillId="0" borderId="0" xfId="20" applyFont="1" applyFill="1">
      <alignment vertical="top"/>
    </xf>
    <xf numFmtId="165" fontId="36" fillId="0" borderId="0" xfId="0" applyFont="1">
      <alignment vertical="top"/>
    </xf>
    <xf numFmtId="165" fontId="17" fillId="6" borderId="0" xfId="13" applyNumberFormat="1" applyFont="1" applyFill="1" applyAlignment="1">
      <alignment horizontal="left" vertical="center"/>
    </xf>
    <xf numFmtId="165" fontId="12" fillId="0" borderId="0" xfId="0" applyFont="1" applyAlignment="1">
      <alignment horizontal="right" vertical="top"/>
    </xf>
    <xf numFmtId="165" fontId="37" fillId="0" borderId="0" xfId="20" applyFont="1" applyFill="1">
      <alignment vertical="top"/>
    </xf>
    <xf numFmtId="165" fontId="22" fillId="6" borderId="0" xfId="0" applyFont="1" applyFill="1" applyAlignment="1">
      <alignment vertical="center"/>
    </xf>
    <xf numFmtId="165" fontId="38" fillId="6" borderId="0" xfId="0" applyFont="1" applyFill="1">
      <alignment vertical="top"/>
    </xf>
    <xf numFmtId="165" fontId="39" fillId="0" borderId="0" xfId="0" applyFont="1">
      <alignment vertical="top"/>
    </xf>
    <xf numFmtId="165" fontId="8" fillId="0" borderId="0" xfId="20" applyFont="1">
      <alignment vertical="top"/>
    </xf>
    <xf numFmtId="165" fontId="9" fillId="0" borderId="0" xfId="20" applyFont="1">
      <alignment vertical="top"/>
    </xf>
    <xf numFmtId="165" fontId="41" fillId="0" borderId="0" xfId="20" applyFont="1">
      <alignment vertical="top"/>
    </xf>
    <xf numFmtId="165" fontId="41" fillId="0" borderId="0" xfId="1" applyFont="1">
      <alignment vertical="top"/>
    </xf>
    <xf numFmtId="165" fontId="9" fillId="0" borderId="0" xfId="1" applyFont="1">
      <alignment vertical="top"/>
    </xf>
    <xf numFmtId="167" fontId="9" fillId="0" borderId="0" xfId="4" applyFont="1">
      <alignment vertical="top"/>
    </xf>
    <xf numFmtId="165" fontId="42" fillId="0" borderId="0" xfId="20" applyFont="1">
      <alignment vertical="top"/>
    </xf>
    <xf numFmtId="167" fontId="42" fillId="0" borderId="0" xfId="4" applyFont="1">
      <alignment vertical="top"/>
    </xf>
    <xf numFmtId="171" fontId="9" fillId="0" borderId="0" xfId="1" applyNumberFormat="1" applyFont="1">
      <alignment vertical="top"/>
    </xf>
    <xf numFmtId="165" fontId="42" fillId="0" borderId="0" xfId="1" applyFont="1">
      <alignment vertical="top"/>
    </xf>
    <xf numFmtId="171" fontId="42" fillId="0" borderId="0" xfId="1" applyNumberFormat="1" applyFont="1">
      <alignment vertical="top"/>
    </xf>
    <xf numFmtId="167" fontId="41" fillId="0" borderId="0" xfId="4" applyFont="1">
      <alignment vertical="top"/>
    </xf>
    <xf numFmtId="14" fontId="11" fillId="0" borderId="0" xfId="0" applyNumberFormat="1" applyFont="1">
      <alignment vertical="top"/>
    </xf>
    <xf numFmtId="10" fontId="11" fillId="0" borderId="0" xfId="0" applyNumberFormat="1" applyFont="1">
      <alignment vertical="top"/>
    </xf>
    <xf numFmtId="165" fontId="11" fillId="5" borderId="0" xfId="0" applyFont="1" applyFill="1" applyAlignment="1">
      <alignment vertical="center"/>
    </xf>
    <xf numFmtId="165" fontId="11" fillId="0" borderId="0" xfId="0" applyFont="1" applyAlignment="1">
      <alignment vertical="center"/>
    </xf>
    <xf numFmtId="165" fontId="43" fillId="0" borderId="0" xfId="20" applyFont="1">
      <alignment vertical="top"/>
    </xf>
    <xf numFmtId="176" fontId="9" fillId="0" borderId="0" xfId="20" applyNumberFormat="1" applyFont="1">
      <alignment vertical="top"/>
    </xf>
    <xf numFmtId="176" fontId="9" fillId="0" borderId="0" xfId="35" applyNumberFormat="1" applyFont="1">
      <alignment vertical="top"/>
    </xf>
    <xf numFmtId="176" fontId="41" fillId="0" borderId="0" xfId="3" applyNumberFormat="1" applyFont="1">
      <alignment vertical="top"/>
    </xf>
    <xf numFmtId="176" fontId="9" fillId="0" borderId="0" xfId="3" applyNumberFormat="1" applyFont="1">
      <alignment vertical="top"/>
    </xf>
    <xf numFmtId="168" fontId="41" fillId="0" borderId="0" xfId="1" applyNumberFormat="1" applyFont="1">
      <alignment vertical="top"/>
    </xf>
    <xf numFmtId="168" fontId="9" fillId="0" borderId="0" xfId="1" applyNumberFormat="1" applyFont="1">
      <alignment vertical="top"/>
    </xf>
    <xf numFmtId="169" fontId="41" fillId="0" borderId="0" xfId="2" applyFont="1">
      <alignment vertical="top"/>
    </xf>
    <xf numFmtId="169" fontId="9" fillId="0" borderId="0" xfId="2" applyFont="1">
      <alignment vertical="top"/>
    </xf>
    <xf numFmtId="176" fontId="42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7" fontId="9" fillId="0" borderId="0" xfId="20" applyNumberFormat="1" applyFont="1">
      <alignment vertical="top"/>
    </xf>
    <xf numFmtId="167" fontId="12" fillId="8" borderId="1" xfId="17" applyNumberFormat="1" applyFont="1" applyFill="1" applyProtection="1">
      <alignment vertical="top"/>
      <protection locked="0"/>
    </xf>
    <xf numFmtId="165" fontId="12" fillId="8" borderId="1" xfId="18" applyFont="1" applyFill="1" applyProtection="1">
      <alignment vertical="top"/>
      <protection locked="0"/>
    </xf>
    <xf numFmtId="176" fontId="12" fillId="8" borderId="1" xfId="18" applyNumberFormat="1" applyFont="1" applyFill="1" applyProtection="1">
      <alignment vertical="top"/>
      <protection locked="0"/>
    </xf>
    <xf numFmtId="168" fontId="9" fillId="0" borderId="0" xfId="20" applyNumberFormat="1" applyFont="1">
      <alignment vertical="top"/>
    </xf>
    <xf numFmtId="168" fontId="12" fillId="8" borderId="1" xfId="18" applyNumberFormat="1" applyFont="1" applyFill="1" applyProtection="1">
      <alignment vertical="top"/>
      <protection locked="0"/>
    </xf>
    <xf numFmtId="169" fontId="9" fillId="0" borderId="0" xfId="20" applyNumberFormat="1" applyFont="1">
      <alignment vertical="top"/>
    </xf>
    <xf numFmtId="169" fontId="12" fillId="8" borderId="1" xfId="15" applyFont="1" applyFill="1" applyProtection="1">
      <alignment vertical="top"/>
      <protection locked="0"/>
    </xf>
    <xf numFmtId="177" fontId="9" fillId="0" borderId="0" xfId="45" applyNumberFormat="1" applyFont="1" applyFill="1" applyAlignment="1">
      <alignment horizontal="left" vertical="top"/>
    </xf>
  </cellXfs>
  <cellStyles count="46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 2" xfId="5" xr:uid="{00000000-0005-0000-0000-000004000000}"/>
    <cellStyle name="DateLong" xfId="6" xr:uid="{00000000-0005-0000-0000-000005000000}"/>
    <cellStyle name="DateLong 2" xfId="7" xr:uid="{00000000-0005-0000-0000-000006000000}"/>
    <cellStyle name="DateShort" xfId="8" xr:uid="{00000000-0005-0000-0000-000007000000}"/>
    <cellStyle name="DateShort 2" xfId="9" xr:uid="{00000000-0005-0000-0000-000008000000}"/>
    <cellStyle name="Factor" xfId="10" xr:uid="{00000000-0005-0000-0000-000009000000}"/>
    <cellStyle name="Factor 2" xfId="11" xr:uid="{00000000-0005-0000-0000-00000A000000}"/>
    <cellStyle name="Factor 3" xfId="12" xr:uid="{00000000-0005-0000-0000-00000B000000}"/>
    <cellStyle name="Hyperlink" xfId="13" builtinId="8"/>
    <cellStyle name="Hyperlink 2" xfId="14" xr:uid="{00000000-0005-0000-0000-00000D000000}"/>
    <cellStyle name="Input%" xfId="15" xr:uid="{00000000-0005-0000-0000-00000E000000}"/>
    <cellStyle name="InputCurrency" xfId="16" xr:uid="{00000000-0005-0000-0000-00000F000000}"/>
    <cellStyle name="InputDate" xfId="17" xr:uid="{00000000-0005-0000-0000-000010000000}"/>
    <cellStyle name="InputStyle" xfId="18" xr:uid="{00000000-0005-0000-0000-000011000000}"/>
    <cellStyle name="Normal" xfId="0" builtinId="0" customBuiltin="1"/>
    <cellStyle name="Normal 2" xfId="19" xr:uid="{00000000-0005-0000-0000-000013000000}"/>
    <cellStyle name="Normal 2 2" xfId="20" xr:uid="{00000000-0005-0000-0000-000014000000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ercent" xfId="27" builtinId="5" customBuiltin="1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ReportSubTotal" xfId="31" xr:uid="{00000000-0005-0000-0000-00001F000000}"/>
    <cellStyle name="ReportTotal" xfId="32" xr:uid="{00000000-0005-0000-0000-000020000000}"/>
    <cellStyle name="Result" xfId="33" xr:uid="{00000000-0005-0000-0000-000021000000}"/>
    <cellStyle name="Result%" xfId="34" xr:uid="{00000000-0005-0000-0000-000022000000}"/>
    <cellStyle name="ResultCurrency" xfId="35" xr:uid="{00000000-0005-0000-0000-000023000000}"/>
    <cellStyle name="ResultDate" xfId="36" xr:uid="{00000000-0005-0000-0000-000024000000}"/>
    <cellStyle name="Style 1" xfId="37" xr:uid="{00000000-0005-0000-0000-000025000000}"/>
    <cellStyle name="Style 2" xfId="38" xr:uid="{00000000-0005-0000-0000-000026000000}"/>
    <cellStyle name="Style 3" xfId="39" xr:uid="{00000000-0005-0000-0000-000027000000}"/>
    <cellStyle name="Style 4" xfId="40" xr:uid="{00000000-0005-0000-0000-000028000000}"/>
    <cellStyle name="Style 5" xfId="41" xr:uid="{00000000-0005-0000-0000-000029000000}"/>
    <cellStyle name="Style 6" xfId="42" xr:uid="{00000000-0005-0000-0000-00002A000000}"/>
    <cellStyle name="Year" xfId="43" xr:uid="{00000000-0005-0000-0000-00002B000000}"/>
    <cellStyle name="Year 2" xfId="44" xr:uid="{00000000-0005-0000-0000-00002C000000}"/>
    <cellStyle name="Year 3" xfId="45" xr:uid="{00000000-0005-0000-0000-00002D000000}"/>
  </cellStyles>
  <dxfs count="84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191.71960651497787</c:v>
                </c:pt>
                <c:pt idx="2">
                  <c:v>207.42386979197053</c:v>
                </c:pt>
                <c:pt idx="3">
                  <c:v>207.42386979197053</c:v>
                </c:pt>
                <c:pt idx="4">
                  <c:v>208.73173990197321</c:v>
                </c:pt>
                <c:pt idx="5">
                  <c:v>208.73173990197321</c:v>
                </c:pt>
                <c:pt idx="6">
                  <c:v>220.60979374678689</c:v>
                </c:pt>
                <c:pt idx="7">
                  <c:v>221.59095211185294</c:v>
                </c:pt>
                <c:pt idx="8">
                  <c:v>229.10335766106334</c:v>
                </c:pt>
                <c:pt idx="9">
                  <c:v>216.95516055798481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191.71960651497787</c:v>
                </c:pt>
                <c:pt idx="10">
                  <c:v>216.95516055798481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D5-4B3C-8B26-72F115D5205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D5-4B3C-8B26-72F115D5205F}"/>
                </c:ext>
              </c:extLst>
            </c:dLbl>
            <c:dLbl>
              <c:idx val="6"/>
              <c:layout>
                <c:manualLayout>
                  <c:x val="-7.1999738306462971E-4"/>
                  <c:y val="-2.65548824601447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D5-4B3C-8B26-72F115D5205F}"/>
                </c:ext>
              </c:extLst>
            </c:dLbl>
            <c:dLbl>
              <c:idx val="8"/>
              <c:layout>
                <c:manualLayout>
                  <c:x val="-1.527349171262745E-3"/>
                  <c:y val="-2.62310166849894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D5-4B3C-8B26-72F115D5205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D5-4B3C-8B26-72F115D52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22.877821034166924</c:v>
                </c:pt>
                <c:pt idx="2">
                  <c:v>0</c:v>
                </c:pt>
                <c:pt idx="3">
                  <c:v>12.629340622591624</c:v>
                </c:pt>
                <c:pt idx="4">
                  <c:v>0</c:v>
                </c:pt>
                <c:pt idx="5">
                  <c:v>11.878053844813667</c:v>
                </c:pt>
                <c:pt idx="6">
                  <c:v>0.98115836506605636</c:v>
                </c:pt>
                <c:pt idx="7">
                  <c:v>7.5124055492103992</c:v>
                </c:pt>
                <c:pt idx="8">
                  <c:v>1.3689355645483019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D5-4B3C-8B26-72F115D520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D5-4B3C-8B26-72F115D5205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D5-4B3C-8B26-72F115D5205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D5-4B3C-8B26-72F115D5205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D5-4B3C-8B26-72F115D5205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D5-4B3C-8B26-72F115D520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7.1735577571742493</c:v>
                </c:pt>
                <c:pt idx="3">
                  <c:v>0</c:v>
                </c:pt>
                <c:pt idx="4">
                  <c:v>11.321470512588935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13.517132667626846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3983"/>
        <c:axId val="1"/>
      </c:barChart>
      <c:catAx>
        <c:axId val="855933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in val="17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39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191.71960651497787</c:v>
                </c:pt>
                <c:pt idx="2">
                  <c:v>195.78636122140531</c:v>
                </c:pt>
                <c:pt idx="3">
                  <c:v>195.78636122140531</c:v>
                </c:pt>
                <c:pt idx="4">
                  <c:v>195.78636122140531</c:v>
                </c:pt>
                <c:pt idx="5">
                  <c:v>196.56978133789565</c:v>
                </c:pt>
                <c:pt idx="6">
                  <c:v>196.77328690841523</c:v>
                </c:pt>
                <c:pt idx="7">
                  <c:v>208.30277690093337</c:v>
                </c:pt>
                <c:pt idx="8">
                  <c:v>208.73173990197324</c:v>
                </c:pt>
                <c:pt idx="9">
                  <c:v>208.73173990197324</c:v>
                </c:pt>
                <c:pt idx="10">
                  <c:v>220.60979374678692</c:v>
                </c:pt>
                <c:pt idx="11">
                  <c:v>221.59095211185297</c:v>
                </c:pt>
                <c:pt idx="12">
                  <c:v>229.10335766106337</c:v>
                </c:pt>
                <c:pt idx="13">
                  <c:v>216.95516055798484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191.71960651497787</c:v>
                </c:pt>
                <c:pt idx="14">
                  <c:v>216.95516055798484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4.066754706427445</c:v>
                </c:pt>
                <c:pt idx="2">
                  <c:v>0</c:v>
                </c:pt>
                <c:pt idx="3">
                  <c:v>0</c:v>
                </c:pt>
                <c:pt idx="4">
                  <c:v>0.7834201164903325</c:v>
                </c:pt>
                <c:pt idx="5">
                  <c:v>0.20350557051959406</c:v>
                </c:pt>
                <c:pt idx="6">
                  <c:v>11.529489992518124</c:v>
                </c:pt>
                <c:pt idx="7">
                  <c:v>1.0938836718581422</c:v>
                </c:pt>
                <c:pt idx="8">
                  <c:v>0</c:v>
                </c:pt>
                <c:pt idx="9">
                  <c:v>11.878053844813667</c:v>
                </c:pt>
                <c:pt idx="10">
                  <c:v>0.98115836506605636</c:v>
                </c:pt>
                <c:pt idx="11">
                  <c:v>7.5124055492103992</c:v>
                </c:pt>
                <c:pt idx="12">
                  <c:v>1.3689355645483019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0.66492067081827688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13.517132667626846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8783"/>
        <c:axId val="1"/>
      </c:barChart>
      <c:catAx>
        <c:axId val="85593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87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9511</xdr:colOff>
      <xdr:row>1</xdr:row>
      <xdr:rowOff>139247</xdr:rowOff>
    </xdr:from>
    <xdr:to>
      <xdr:col>42</xdr:col>
      <xdr:colOff>0</xdr:colOff>
      <xdr:row>39</xdr:row>
      <xdr:rowOff>101284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2373</xdr:colOff>
      <xdr:row>2</xdr:row>
      <xdr:rowOff>4150</xdr:rowOff>
    </xdr:from>
    <xdr:to>
      <xdr:col>42</xdr:col>
      <xdr:colOff>440531</xdr:colOff>
      <xdr:row>36</xdr:row>
      <xdr:rowOff>32861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0AF70-7E90-4B47-BC3F-3DAE24F3A6F3}" name="tbl_PowerBiSourceTable" displayName="tbl_PowerBiSourceTable" ref="A1:L197" totalsRowShown="0">
  <autoFilter ref="A1:L197" xr:uid="{6F20AF70-7E90-4B47-BC3F-3DAE24F3A6F3}"/>
  <tableColumns count="12">
    <tableColumn id="1" xr3:uid="{CB74AFA6-6E0C-453E-84CF-22A3FE51590A}" name="Name"/>
    <tableColumn id="2" xr3:uid="{73442B65-6257-4B0C-9761-0A00148939BD}" name="Report name"/>
    <tableColumn id="3" xr3:uid="{9949BCF2-213D-4168-9D0A-C6A6E7D24DA6}" name="Index"/>
    <tableColumn id="4" xr3:uid="{8CAE271E-5FAC-48F5-BE0F-A1B3F593139B}" name="Date" dataDxfId="83"/>
    <tableColumn id="5" xr3:uid="{54E27AA5-E968-4D70-8006-C62A756DA6A9}" name="ValueDate"/>
    <tableColumn id="6" xr3:uid="{33A56F0D-CA94-4C37-AA9C-5354BF4347C0}" name="ValuePercentage"/>
    <tableColumn id="7" xr3:uid="{B018215F-AD41-4260-8AEC-B02277F7AB33}" name="ValueNumber"/>
    <tableColumn id="8" xr3:uid="{5E2FC7C7-2EC4-4BB8-8EC9-2DFB5D3F3117}" name="ValueText"/>
    <tableColumn id="9" xr3:uid="{E1466F6B-8191-4370-BC4E-29FDD3D6D73C}" name="Heading level"/>
    <tableColumn id="10" xr3:uid="{07735475-CCCE-488A-A360-3EACB7978510}" name="Reference"/>
    <tableColumn id="11" xr3:uid="{79A43E6A-7C67-43DB-A7E3-D3161FBCE157}" name="Column1"/>
    <tableColumn id="12" xr3:uid="{1C3FE328-6349-46C6-99E7-8FA2F99F2728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customProperty" Target="../customProperty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workbookViewId="0"/>
  </sheetViews>
  <sheetFormatPr defaultColWidth="0" defaultRowHeight="10" x14ac:dyDescent="0.2"/>
  <cols>
    <col min="1" max="12" width="9.33203125" customWidth="1"/>
    <col min="13" max="13" width="9.109375" hidden="1" customWidth="1"/>
    <col min="14" max="16384" width="9.109375" hidden="1"/>
  </cols>
  <sheetData>
    <row r="1" spans="1:2" x14ac:dyDescent="0.2">
      <c r="A1" t="s">
        <v>0</v>
      </c>
      <c r="B1" t="s">
        <v>1</v>
      </c>
    </row>
  </sheetData>
  <pageMargins left="0.7" right="0.7" top="0.75" bottom="0.75" header="0.3" footer="0.3"/>
  <customProperties>
    <customPr name="MMSheetType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97"/>
  <sheetViews>
    <sheetView showGridLines="0" workbookViewId="0">
      <pane xSplit="9" ySplit="5" topLeftCell="J61" activePane="bottomRight" state="frozen"/>
      <selection pane="topRight"/>
      <selection pane="bottomLeft"/>
      <selection pane="bottomRight" activeCell="F85" sqref="F85"/>
    </sheetView>
  </sheetViews>
  <sheetFormatPr defaultColWidth="0" defaultRowHeight="13" outlineLevelRow="1" x14ac:dyDescent="0.2"/>
  <cols>
    <col min="1" max="4" width="1.44140625" style="70" customWidth="1"/>
    <col min="5" max="5" width="52.109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x14ac:dyDescent="0.2">
      <c r="A9" s="69" t="s">
        <v>145</v>
      </c>
    </row>
    <row r="10" spans="1:19" outlineLevel="1" x14ac:dyDescent="0.2">
      <c r="B10" s="69" t="s">
        <v>146</v>
      </c>
    </row>
    <row r="11" spans="1:19" outlineLevel="1" x14ac:dyDescent="0.2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0</v>
      </c>
      <c r="G11" s="88" t="str">
        <f xml:space="preserve">  InpS!G$48</f>
        <v>£m</v>
      </c>
      <c r="M11" s="89"/>
    </row>
    <row r="12" spans="1:19" outlineLevel="1" x14ac:dyDescent="0.2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outlineLevel="1" x14ac:dyDescent="0.2">
      <c r="E13" s="70" t="s">
        <v>146</v>
      </c>
      <c r="F13" s="89">
        <f xml:space="preserve">  $F11 * $F12</f>
        <v>0</v>
      </c>
      <c r="G13" s="70" t="s">
        <v>29</v>
      </c>
      <c r="M13" s="89"/>
    </row>
    <row r="14" spans="1:19" outlineLevel="1" x14ac:dyDescent="0.2"/>
    <row r="15" spans="1:19" outlineLevel="1" x14ac:dyDescent="0.2"/>
    <row r="16" spans="1:19" outlineLevel="1" x14ac:dyDescent="0.2">
      <c r="B16" s="69" t="s">
        <v>147</v>
      </c>
    </row>
    <row r="17" spans="1:13" outlineLevel="1" x14ac:dyDescent="0.2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0</v>
      </c>
      <c r="G17" s="88" t="str">
        <f xml:space="preserve">  InpS!G$49</f>
        <v>£m</v>
      </c>
      <c r="M17" s="89"/>
    </row>
    <row r="18" spans="1:13" outlineLevel="1" x14ac:dyDescent="0.2">
      <c r="E18" s="89" t="str">
        <f t="shared" ref="E18:G18" si="0" xml:space="preserve">  E$13</f>
        <v>Pension deficit repair allowance PR19</v>
      </c>
      <c r="F18" s="89">
        <f t="shared" si="0"/>
        <v>0</v>
      </c>
      <c r="G18" s="89" t="str">
        <f t="shared" si="0"/>
        <v>£m</v>
      </c>
      <c r="M18" s="89"/>
    </row>
    <row r="19" spans="1:13" outlineLevel="1" x14ac:dyDescent="0.2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1554.56</v>
      </c>
      <c r="G19" s="72" t="str">
        <f xml:space="preserve">  'Cost to serve'!G$17</f>
        <v>000 customers</v>
      </c>
      <c r="M19" s="73"/>
    </row>
    <row r="20" spans="1:13" outlineLevel="1" x14ac:dyDescent="0.2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outlineLevel="1" x14ac:dyDescent="0.2">
      <c r="E21" s="70" t="s">
        <v>147</v>
      </c>
      <c r="F21" s="89">
        <f xml:space="preserve">  ( $F17 - $F18 ) / $F19 * $F20</f>
        <v>0</v>
      </c>
      <c r="G21" s="70" t="s">
        <v>50</v>
      </c>
      <c r="M21" s="89"/>
    </row>
    <row r="22" spans="1:13" outlineLevel="1" x14ac:dyDescent="0.2"/>
    <row r="23" spans="1:13" outlineLevel="1" x14ac:dyDescent="0.2"/>
    <row r="24" spans="1:13" outlineLevel="1" x14ac:dyDescent="0.2">
      <c r="B24" s="69" t="s">
        <v>145</v>
      </c>
    </row>
    <row r="25" spans="1:13" outlineLevel="1" x14ac:dyDescent="0.2">
      <c r="E25" s="89" t="str">
        <f t="shared" ref="E25:G25" si="1" xml:space="preserve">  E$21</f>
        <v>Pre-adjustment Pension deficit repair allowance</v>
      </c>
      <c r="F25" s="89">
        <f t="shared" si="1"/>
        <v>0</v>
      </c>
      <c r="G25" s="89" t="str">
        <f t="shared" si="1"/>
        <v>£ / customer</v>
      </c>
      <c r="M25" s="89"/>
    </row>
    <row r="26" spans="1:13" outlineLevel="1" x14ac:dyDescent="0.2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0.71802663151548995</v>
      </c>
      <c r="G26" s="90" t="str">
        <f xml:space="preserve">  Wholesale!G$44</f>
        <v>factor</v>
      </c>
      <c r="M26" s="91"/>
    </row>
    <row r="27" spans="1:13" outlineLevel="1" x14ac:dyDescent="0.2">
      <c r="E27" s="70" t="s">
        <v>145</v>
      </c>
      <c r="F27" s="89">
        <f xml:space="preserve">  $F25 * $F26</f>
        <v>0</v>
      </c>
      <c r="G27" s="70" t="s">
        <v>50</v>
      </c>
      <c r="M27" s="89"/>
    </row>
    <row r="28" spans="1:13" outlineLevel="1" x14ac:dyDescent="0.2"/>
    <row r="31" spans="1:13" x14ac:dyDescent="0.2">
      <c r="A31" s="69" t="s">
        <v>148</v>
      </c>
    </row>
    <row r="32" spans="1:13" outlineLevel="1" x14ac:dyDescent="0.2">
      <c r="B32" s="69" t="s">
        <v>149</v>
      </c>
    </row>
    <row r="33" spans="1:13" outlineLevel="1" x14ac:dyDescent="0.2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1.0873099189099602</v>
      </c>
      <c r="G33" s="88" t="str">
        <f xml:space="preserve">  InpS!G$50</f>
        <v>£m</v>
      </c>
      <c r="M33" s="89"/>
    </row>
    <row r="34" spans="1:13" outlineLevel="1" x14ac:dyDescent="0.2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outlineLevel="1" x14ac:dyDescent="0.2">
      <c r="E35" s="70" t="s">
        <v>149</v>
      </c>
      <c r="F35" s="89">
        <f xml:space="preserve">  $F33 * $F34</f>
        <v>1.2837142933556343</v>
      </c>
      <c r="G35" s="70" t="s">
        <v>29</v>
      </c>
      <c r="M35" s="89"/>
    </row>
    <row r="36" spans="1:13" outlineLevel="1" x14ac:dyDescent="0.2"/>
    <row r="37" spans="1:13" outlineLevel="1" x14ac:dyDescent="0.2"/>
    <row r="38" spans="1:13" outlineLevel="1" x14ac:dyDescent="0.2">
      <c r="B38" s="69" t="s">
        <v>150</v>
      </c>
    </row>
    <row r="39" spans="1:13" outlineLevel="1" x14ac:dyDescent="0.2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0</v>
      </c>
      <c r="G39" s="88" t="str">
        <f xml:space="preserve">  InpS!G$51</f>
        <v>£m</v>
      </c>
      <c r="M39" s="89"/>
    </row>
    <row r="40" spans="1:13" outlineLevel="1" x14ac:dyDescent="0.2">
      <c r="E40" s="89" t="str">
        <f t="shared" ref="E40:G40" si="2" xml:space="preserve">  E$35</f>
        <v>Tax PR19</v>
      </c>
      <c r="F40" s="89">
        <f t="shared" si="2"/>
        <v>1.2837142933556343</v>
      </c>
      <c r="G40" s="89" t="str">
        <f t="shared" si="2"/>
        <v>£m</v>
      </c>
      <c r="M40" s="89"/>
    </row>
    <row r="41" spans="1:13" outlineLevel="1" x14ac:dyDescent="0.2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1554.56</v>
      </c>
      <c r="G41" s="72" t="str">
        <f xml:space="preserve">  'Cost to serve'!G$17</f>
        <v>000 customers</v>
      </c>
      <c r="M41" s="73"/>
    </row>
    <row r="42" spans="1:13" outlineLevel="1" x14ac:dyDescent="0.2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outlineLevel="1" x14ac:dyDescent="0.2">
      <c r="E43" s="70" t="s">
        <v>150</v>
      </c>
      <c r="F43" s="89">
        <f xml:space="preserve">  ( $F39 - $F40 ) / $F41 * $F42</f>
        <v>-0.82577339784610071</v>
      </c>
      <c r="G43" s="70" t="s">
        <v>50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148</v>
      </c>
    </row>
    <row r="47" spans="1:13" outlineLevel="1" x14ac:dyDescent="0.2">
      <c r="E47" s="89" t="str">
        <f t="shared" ref="E47:G47" si="3" xml:space="preserve">  E$43</f>
        <v>Pre-adjustment tax</v>
      </c>
      <c r="F47" s="89">
        <f t="shared" si="3"/>
        <v>-0.82577339784610071</v>
      </c>
      <c r="G47" s="89" t="str">
        <f t="shared" si="3"/>
        <v>£ / customer</v>
      </c>
      <c r="M47" s="89"/>
    </row>
    <row r="48" spans="1:13" outlineLevel="1" x14ac:dyDescent="0.2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0.71802663151548995</v>
      </c>
      <c r="G48" s="90" t="str">
        <f xml:space="preserve">  Wholesale!G$44</f>
        <v>factor</v>
      </c>
      <c r="M48" s="91"/>
    </row>
    <row r="49" spans="1:13" outlineLevel="1" x14ac:dyDescent="0.2">
      <c r="E49" s="70" t="s">
        <v>148</v>
      </c>
      <c r="F49" s="89">
        <f xml:space="preserve">  $F47 * $F48</f>
        <v>-0.59292729125053623</v>
      </c>
      <c r="G49" s="70" t="s">
        <v>50</v>
      </c>
      <c r="M49" s="89"/>
    </row>
    <row r="50" spans="1:13" outlineLevel="1" x14ac:dyDescent="0.2"/>
    <row r="53" spans="1:13" x14ac:dyDescent="0.2">
      <c r="A53" s="69" t="s">
        <v>151</v>
      </c>
    </row>
    <row r="54" spans="1:13" outlineLevel="1" x14ac:dyDescent="0.2">
      <c r="B54" s="69" t="s">
        <v>152</v>
      </c>
    </row>
    <row r="55" spans="1:13" outlineLevel="1" x14ac:dyDescent="0.2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-3.3423349135740708</v>
      </c>
      <c r="G55" s="88" t="str">
        <f xml:space="preserve">  InpS!G$52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152</v>
      </c>
      <c r="F57" s="89">
        <f xml:space="preserve">  $F55 * $F56</f>
        <v>-3.946071885408696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153</v>
      </c>
    </row>
    <row r="61" spans="1:13" outlineLevel="1" x14ac:dyDescent="0.2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</v>
      </c>
      <c r="G61" s="88" t="str">
        <f xml:space="preserve">  InpS!G$53</f>
        <v>£m</v>
      </c>
      <c r="M61" s="89"/>
    </row>
    <row r="62" spans="1:13" outlineLevel="1" x14ac:dyDescent="0.2">
      <c r="E62" s="89" t="str">
        <f t="shared" ref="E62:G62" si="4" xml:space="preserve">  E$57</f>
        <v>Revenue profiling PR19</v>
      </c>
      <c r="F62" s="89">
        <f t="shared" si="4"/>
        <v>-3.946071885408696</v>
      </c>
      <c r="G62" s="89" t="str">
        <f t="shared" si="4"/>
        <v>£m</v>
      </c>
      <c r="M62" s="89"/>
    </row>
    <row r="63" spans="1:13" outlineLevel="1" x14ac:dyDescent="0.2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1554.56</v>
      </c>
      <c r="G63" s="72" t="str">
        <f xml:space="preserve">  'Cost to serve'!G$17</f>
        <v>000 customers</v>
      </c>
      <c r="M63" s="73"/>
    </row>
    <row r="64" spans="1:13" outlineLevel="1" x14ac:dyDescent="0.2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outlineLevel="1" x14ac:dyDescent="0.2">
      <c r="E65" s="70" t="s">
        <v>153</v>
      </c>
      <c r="F65" s="89">
        <f xml:space="preserve">  ( $F61 - $F62 ) / $F63 * $F64</f>
        <v>2.5383850642038239</v>
      </c>
      <c r="G65" s="70" t="s">
        <v>50</v>
      </c>
      <c r="M65" s="89"/>
    </row>
    <row r="66" spans="1:13" outlineLevel="1" x14ac:dyDescent="0.2"/>
    <row r="67" spans="1:13" outlineLevel="1" x14ac:dyDescent="0.2"/>
    <row r="68" spans="1:13" outlineLevel="1" x14ac:dyDescent="0.2">
      <c r="B68" s="69" t="s">
        <v>151</v>
      </c>
    </row>
    <row r="69" spans="1:13" outlineLevel="1" x14ac:dyDescent="0.2">
      <c r="E69" s="89" t="str">
        <f t="shared" ref="E69:G69" si="5" xml:space="preserve">  E$65</f>
        <v>Pre-adjustment revenue profiling</v>
      </c>
      <c r="F69" s="89">
        <f t="shared" si="5"/>
        <v>2.5383850642038239</v>
      </c>
      <c r="G69" s="89" t="str">
        <f t="shared" si="5"/>
        <v>£ / customer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0.71802663151548995</v>
      </c>
      <c r="G70" s="90" t="str">
        <f xml:space="preserve">  Wholesale!G$44</f>
        <v>factor</v>
      </c>
      <c r="M70" s="91"/>
    </row>
    <row r="71" spans="1:13" outlineLevel="1" x14ac:dyDescent="0.2">
      <c r="E71" s="70" t="s">
        <v>151</v>
      </c>
      <c r="F71" s="89">
        <f xml:space="preserve">  $F69 * $F70</f>
        <v>1.8226280771395025</v>
      </c>
      <c r="G71" s="70" t="s">
        <v>50</v>
      </c>
      <c r="M71" s="89"/>
    </row>
    <row r="72" spans="1:13" outlineLevel="1" x14ac:dyDescent="0.2"/>
    <row r="75" spans="1:13" x14ac:dyDescent="0.2">
      <c r="A75" s="69" t="s">
        <v>154</v>
      </c>
    </row>
    <row r="76" spans="1:13" outlineLevel="1" x14ac:dyDescent="0.2">
      <c r="B76" s="69" t="s">
        <v>55</v>
      </c>
    </row>
    <row r="77" spans="1:13" outlineLevel="1" x14ac:dyDescent="0.2">
      <c r="E77" s="89" t="str">
        <f t="shared" ref="E77:G77" si="6" xml:space="preserve">  E$27</f>
        <v>Pension deficit repair allowance</v>
      </c>
      <c r="F77" s="89">
        <f t="shared" si="6"/>
        <v>0</v>
      </c>
      <c r="G77" s="89" t="str">
        <f t="shared" si="6"/>
        <v>£ / customer</v>
      </c>
      <c r="M77" s="89"/>
    </row>
    <row r="78" spans="1:13" outlineLevel="1" x14ac:dyDescent="0.2">
      <c r="E78" s="89" t="str">
        <f t="shared" ref="E78:G78" si="7" xml:space="preserve">  E$49</f>
        <v>Tax</v>
      </c>
      <c r="F78" s="89">
        <f t="shared" si="7"/>
        <v>-0.59292729125053623</v>
      </c>
      <c r="G78" s="89" t="str">
        <f t="shared" si="7"/>
        <v>£ / customer</v>
      </c>
      <c r="M78" s="89"/>
    </row>
    <row r="79" spans="1:13" outlineLevel="1" x14ac:dyDescent="0.2">
      <c r="E79" s="89" t="str">
        <f t="shared" ref="E79:G79" si="8" xml:space="preserve">  E$71</f>
        <v>Revenue profiling</v>
      </c>
      <c r="F79" s="89">
        <f t="shared" si="8"/>
        <v>1.8226280771395025</v>
      </c>
      <c r="G79" s="89" t="str">
        <f t="shared" si="8"/>
        <v>£ / customer</v>
      </c>
      <c r="M79" s="89"/>
    </row>
    <row r="80" spans="1:13" outlineLevel="1" x14ac:dyDescent="0.2">
      <c r="E80" s="89" t="str">
        <f t="shared" ref="E80:G80" si="9" xml:space="preserve">  E$93</f>
        <v>Other</v>
      </c>
      <c r="F80" s="89">
        <f t="shared" si="9"/>
        <v>6.2827047633214335</v>
      </c>
      <c r="G80" s="89" t="str">
        <f t="shared" si="9"/>
        <v>£ / customer</v>
      </c>
      <c r="M80" s="89"/>
    </row>
    <row r="81" spans="1:13" outlineLevel="1" x14ac:dyDescent="0.2">
      <c r="A81" s="75"/>
      <c r="B81" s="75"/>
      <c r="C81" s="75"/>
      <c r="D81" s="75"/>
      <c r="E81" s="75" t="s">
        <v>55</v>
      </c>
      <c r="F81" s="94">
        <f xml:space="preserve">  $F77 + $F78 + $F79 + $F80</f>
        <v>7.5124055492103992</v>
      </c>
      <c r="G81" s="75" t="s">
        <v>50</v>
      </c>
      <c r="M81" s="89"/>
    </row>
    <row r="82" spans="1:13" outlineLevel="1" x14ac:dyDescent="0.2"/>
    <row r="83" spans="1:13" outlineLevel="1" x14ac:dyDescent="0.2"/>
    <row r="84" spans="1:13" outlineLevel="1" x14ac:dyDescent="0.2">
      <c r="B84" s="69" t="s">
        <v>154</v>
      </c>
    </row>
    <row r="85" spans="1:13" outlineLevel="1" x14ac:dyDescent="0.2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37.383751146085487</v>
      </c>
      <c r="G85" s="88" t="str">
        <f xml:space="preserve">  Wholesale!G$24</f>
        <v>£ / customer</v>
      </c>
      <c r="M85" s="89"/>
    </row>
    <row r="86" spans="1:13" outlineLevel="1" x14ac:dyDescent="0.2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15.704263276992675</v>
      </c>
      <c r="G86" s="88" t="str">
        <f xml:space="preserve">  Totex!G$106</f>
        <v>£ / customer</v>
      </c>
      <c r="M86" s="89"/>
    </row>
    <row r="87" spans="1:13" outlineLevel="1" x14ac:dyDescent="0.2">
      <c r="E87" s="89" t="str">
        <f t="shared" ref="E87:G87" si="10" xml:space="preserve">  E$27</f>
        <v>Pension deficit repair allowance</v>
      </c>
      <c r="F87" s="89">
        <f t="shared" si="10"/>
        <v>0</v>
      </c>
      <c r="G87" s="89" t="str">
        <f t="shared" si="10"/>
        <v>£ / customer</v>
      </c>
      <c r="M87" s="89"/>
    </row>
    <row r="88" spans="1:13" outlineLevel="1" x14ac:dyDescent="0.2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11.878053844813667</v>
      </c>
      <c r="G88" s="88" t="str">
        <f xml:space="preserve">  Wholesale!G$66</f>
        <v>£ / customer</v>
      </c>
      <c r="M88" s="89"/>
    </row>
    <row r="89" spans="1:13" outlineLevel="1" x14ac:dyDescent="0.2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1.3078701100026893</v>
      </c>
      <c r="G89" s="88" t="str">
        <f xml:space="preserve">  RCV!G$66</f>
        <v>£ / customer</v>
      </c>
      <c r="M89" s="89"/>
    </row>
    <row r="90" spans="1:13" outlineLevel="1" x14ac:dyDescent="0.2">
      <c r="E90" s="89" t="str">
        <f t="shared" ref="E90:G90" si="11" xml:space="preserve">  E$49</f>
        <v>Tax</v>
      </c>
      <c r="F90" s="89">
        <f t="shared" si="11"/>
        <v>-0.59292729125053623</v>
      </c>
      <c r="G90" s="89" t="str">
        <f t="shared" si="11"/>
        <v>£ / customer</v>
      </c>
      <c r="M90" s="89"/>
    </row>
    <row r="91" spans="1:13" outlineLevel="1" x14ac:dyDescent="0.2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0.98115836506605636</v>
      </c>
      <c r="G91" s="88" t="str">
        <f xml:space="preserve">  'Wholesale reconciliation'!G$25</f>
        <v>£ / customer</v>
      </c>
      <c r="M91" s="89"/>
    </row>
    <row r="92" spans="1:13" outlineLevel="1" x14ac:dyDescent="0.2">
      <c r="E92" s="89" t="str">
        <f t="shared" ref="E92:G92" si="12" xml:space="preserve">  E$71</f>
        <v>Revenue profiling</v>
      </c>
      <c r="F92" s="89">
        <f t="shared" si="12"/>
        <v>1.8226280771395025</v>
      </c>
      <c r="G92" s="89" t="str">
        <f t="shared" si="12"/>
        <v>£ / customer</v>
      </c>
      <c r="M92" s="89"/>
    </row>
    <row r="93" spans="1:13" outlineLevel="1" x14ac:dyDescent="0.2">
      <c r="E93" s="70" t="s">
        <v>154</v>
      </c>
      <c r="F93" s="89">
        <f xml:space="preserve">  $F85 - ( $F86 + $F87 + $F88 + $F89 + $F90 + $F91 + $F92 )</f>
        <v>6.2827047633214335</v>
      </c>
      <c r="G93" s="70" t="s">
        <v>50</v>
      </c>
      <c r="M93" s="89"/>
    </row>
    <row r="94" spans="1:13" outlineLevel="1" x14ac:dyDescent="0.2"/>
    <row r="97" spans="2:2" x14ac:dyDescent="0.2">
      <c r="B97" s="70" t="s">
        <v>98</v>
      </c>
    </row>
  </sheetData>
  <conditionalFormatting sqref="F2">
    <cfRule type="cellIs" dxfId="40" priority="3" stopIfTrue="1" operator="equal">
      <formula>""</formula>
    </cfRule>
  </conditionalFormatting>
  <conditionalFormatting sqref="F2:F3">
    <cfRule type="cellIs" dxfId="39" priority="1" stopIfTrue="1" operator="notEqual">
      <formula>0</formula>
    </cfRule>
  </conditionalFormatting>
  <conditionalFormatting sqref="J3:S3">
    <cfRule type="cellIs" dxfId="38" priority="9" operator="equal">
      <formula>"PPA ext."</formula>
    </cfRule>
    <cfRule type="cellIs" dxfId="37" priority="10" operator="equal">
      <formula>"Delay"</formula>
    </cfRule>
    <cfRule type="cellIs" dxfId="36" priority="11" operator="equal">
      <formula>"Fin Close"</formula>
    </cfRule>
    <cfRule type="cellIs" dxfId="35" priority="12" stopIfTrue="1" operator="equal">
      <formula>"Construction"</formula>
    </cfRule>
    <cfRule type="cellIs" dxfId="34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21" sqref="F21"/>
    </sheetView>
  </sheetViews>
  <sheetFormatPr defaultColWidth="0" defaultRowHeight="13" x14ac:dyDescent="0.2"/>
  <cols>
    <col min="1" max="4" width="1.44140625" style="70" customWidth="1"/>
    <col min="5" max="5" width="42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155</v>
      </c>
    </row>
    <row r="9" spans="1:19" x14ac:dyDescent="0.2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1152.3219999999999</v>
      </c>
      <c r="G9" s="72" t="str">
        <f xml:space="preserve">  InpS!G$59</f>
        <v>000 customers</v>
      </c>
      <c r="M9" s="73"/>
    </row>
    <row r="10" spans="1:19" x14ac:dyDescent="0.2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326.53399999999999</v>
      </c>
      <c r="G10" s="72" t="str">
        <f xml:space="preserve">  InpS!G$60</f>
        <v>000 customers</v>
      </c>
      <c r="M10" s="73"/>
    </row>
    <row r="11" spans="1:19" x14ac:dyDescent="0.2">
      <c r="A11" s="75"/>
      <c r="B11" s="75"/>
      <c r="C11" s="75"/>
      <c r="D11" s="75"/>
      <c r="E11" s="75" t="s">
        <v>155</v>
      </c>
      <c r="F11" s="78">
        <f xml:space="preserve">  $F9 + $F10</f>
        <v>1478.8559999999998</v>
      </c>
      <c r="G11" s="75" t="s">
        <v>67</v>
      </c>
      <c r="M11" s="73"/>
    </row>
    <row r="14" spans="1:19" x14ac:dyDescent="0.2">
      <c r="B14" s="69" t="s">
        <v>156</v>
      </c>
    </row>
    <row r="15" spans="1:19" x14ac:dyDescent="0.2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1164.56</v>
      </c>
      <c r="G15" s="72" t="str">
        <f xml:space="preserve">  InpS!G$61</f>
        <v>000 customers</v>
      </c>
      <c r="M15" s="73"/>
    </row>
    <row r="16" spans="1:19" x14ac:dyDescent="0.2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390</v>
      </c>
      <c r="G16" s="72" t="str">
        <f xml:space="preserve">  InpS!G$62</f>
        <v>000 customers</v>
      </c>
      <c r="M16" s="73"/>
    </row>
    <row r="17" spans="1:13" x14ac:dyDescent="0.2">
      <c r="A17" s="75"/>
      <c r="B17" s="75"/>
      <c r="C17" s="75"/>
      <c r="D17" s="75"/>
      <c r="E17" s="75" t="s">
        <v>156</v>
      </c>
      <c r="F17" s="78">
        <f xml:space="preserve">  $F15 + $F16</f>
        <v>1554.56</v>
      </c>
      <c r="G17" s="75" t="s">
        <v>67</v>
      </c>
      <c r="M17" s="73"/>
    </row>
    <row r="20" spans="1:13" x14ac:dyDescent="0.2">
      <c r="B20" s="69" t="s">
        <v>157</v>
      </c>
    </row>
    <row r="21" spans="1:13" x14ac:dyDescent="0.2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30.764575497850217</v>
      </c>
      <c r="G21" s="88" t="str">
        <f xml:space="preserve">  InpS!G$66</f>
        <v>£m</v>
      </c>
      <c r="M21" s="89"/>
    </row>
    <row r="22" spans="1:13" x14ac:dyDescent="0.2">
      <c r="E22" s="73" t="str">
        <f t="shared" ref="E22:G22" si="0" xml:space="preserve">  E$11</f>
        <v>Total number of households PR19</v>
      </c>
      <c r="F22" s="73">
        <f t="shared" si="0"/>
        <v>1478.8559999999998</v>
      </c>
      <c r="G22" s="73" t="str">
        <f t="shared" si="0"/>
        <v>000 customers</v>
      </c>
      <c r="M22" s="73"/>
    </row>
    <row r="23" spans="1:13" x14ac:dyDescent="0.2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2">
      <c r="E24" s="70" t="s">
        <v>157</v>
      </c>
      <c r="F24" s="89">
        <f xml:space="preserve">  $F21 / $F22 * $F23</f>
        <v>20.80295545871283</v>
      </c>
      <c r="G24" s="70" t="s">
        <v>50</v>
      </c>
      <c r="M24" s="89"/>
    </row>
    <row r="27" spans="1:13" x14ac:dyDescent="0.2">
      <c r="B27" s="69" t="s">
        <v>158</v>
      </c>
    </row>
    <row r="28" spans="1:13" x14ac:dyDescent="0.2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34.467534909120822</v>
      </c>
      <c r="G28" s="88" t="str">
        <f xml:space="preserve">  InpS!G$67</f>
        <v>£m</v>
      </c>
      <c r="M28" s="89"/>
    </row>
    <row r="29" spans="1:13" x14ac:dyDescent="0.2">
      <c r="E29" s="73" t="str">
        <f t="shared" ref="E29:G29" si="1" xml:space="preserve">  E$17</f>
        <v>Total number of households PR24</v>
      </c>
      <c r="F29" s="73">
        <f t="shared" si="1"/>
        <v>1554.56</v>
      </c>
      <c r="G29" s="73" t="str">
        <f t="shared" si="1"/>
        <v>000 customers</v>
      </c>
      <c r="M29" s="73"/>
    </row>
    <row r="30" spans="1:13" x14ac:dyDescent="0.2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2">
      <c r="E31" s="70" t="s">
        <v>158</v>
      </c>
      <c r="F31" s="89">
        <f xml:space="preserve">  $F28 / $F29 * $F30</f>
        <v>22.171891023261132</v>
      </c>
      <c r="G31" s="70" t="s">
        <v>50</v>
      </c>
      <c r="M31" s="89"/>
    </row>
    <row r="34" spans="1:13" x14ac:dyDescent="0.2">
      <c r="B34" s="69" t="s">
        <v>159</v>
      </c>
    </row>
    <row r="35" spans="1:13" x14ac:dyDescent="0.2">
      <c r="E35" s="89" t="str">
        <f t="shared" ref="E35:G35" si="2" xml:space="preserve">  E$31</f>
        <v>Retail revenue per customer PR24</v>
      </c>
      <c r="F35" s="89">
        <f t="shared" si="2"/>
        <v>22.171891023261132</v>
      </c>
      <c r="G35" s="89" t="str">
        <f t="shared" si="2"/>
        <v>£ / customer</v>
      </c>
      <c r="M35" s="89"/>
    </row>
    <row r="36" spans="1:13" x14ac:dyDescent="0.2">
      <c r="E36" s="89" t="str">
        <f t="shared" ref="E36:G36" si="3" xml:space="preserve">  E$24</f>
        <v>Retail revenue per customer PR19</v>
      </c>
      <c r="F36" s="89">
        <f t="shared" si="3"/>
        <v>20.80295545871283</v>
      </c>
      <c r="G36" s="89" t="str">
        <f t="shared" si="3"/>
        <v>£ / customer</v>
      </c>
      <c r="M36" s="89"/>
    </row>
    <row r="37" spans="1:13" x14ac:dyDescent="0.2">
      <c r="A37" s="75"/>
      <c r="B37" s="75"/>
      <c r="C37" s="75"/>
      <c r="D37" s="75"/>
      <c r="E37" s="75" t="s">
        <v>159</v>
      </c>
      <c r="F37" s="94">
        <f xml:space="preserve">  $F35 - $F36</f>
        <v>1.3689355645483019</v>
      </c>
      <c r="G37" s="75" t="s">
        <v>50</v>
      </c>
      <c r="M37" s="89"/>
    </row>
    <row r="40" spans="1:13" x14ac:dyDescent="0.2">
      <c r="B40" s="70" t="s">
        <v>98</v>
      </c>
    </row>
  </sheetData>
  <conditionalFormatting sqref="F2">
    <cfRule type="cellIs" dxfId="33" priority="3" stopIfTrue="1" operator="equal">
      <formula>""</formula>
    </cfRule>
  </conditionalFormatting>
  <conditionalFormatting sqref="F2:F3">
    <cfRule type="cellIs" dxfId="32" priority="1" stopIfTrue="1" operator="notEqual">
      <formula>0</formula>
    </cfRule>
  </conditionalFormatting>
  <conditionalFormatting sqref="J3:S3">
    <cfRule type="cellIs" dxfId="31" priority="9" operator="equal">
      <formula>"PPA ext."</formula>
    </cfRule>
    <cfRule type="cellIs" dxfId="30" priority="10" operator="equal">
      <formula>"Delay"</formula>
    </cfRule>
    <cfRule type="cellIs" dxfId="29" priority="11" operator="equal">
      <formula>"Fin Close"</formula>
    </cfRule>
    <cfRule type="cellIs" dxfId="28" priority="12" stopIfTrue="1" operator="equal">
      <formula>"Construction"</formula>
    </cfRule>
    <cfRule type="cellIs" dxfId="27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21" sqref="F21"/>
    </sheetView>
  </sheetViews>
  <sheetFormatPr defaultColWidth="0" defaultRowHeight="13" x14ac:dyDescent="0.2"/>
  <cols>
    <col min="1" max="4" width="1.44140625" style="70" customWidth="1"/>
    <col min="5" max="5" width="45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160</v>
      </c>
    </row>
    <row r="9" spans="1:19" x14ac:dyDescent="0.2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0.817283425232745</v>
      </c>
      <c r="G9" s="92" t="str">
        <f xml:space="preserve">  InpS!G$57</f>
        <v>%</v>
      </c>
      <c r="M9" s="93"/>
    </row>
    <row r="10" spans="1:19" x14ac:dyDescent="0.2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1478.8559999999998</v>
      </c>
      <c r="G10" s="72" t="str">
        <f xml:space="preserve">  'Cost to serve'!G$11</f>
        <v>000 customers</v>
      </c>
      <c r="M10" s="73"/>
    </row>
    <row r="11" spans="1:19" x14ac:dyDescent="0.2">
      <c r="E11" s="70" t="s">
        <v>160</v>
      </c>
      <c r="F11" s="93">
        <f xml:space="preserve">  $F9 / $F10</f>
        <v>5.5264571076071313E-4</v>
      </c>
      <c r="G11" s="70" t="s">
        <v>161</v>
      </c>
      <c r="M11" s="93"/>
    </row>
    <row r="14" spans="1:19" x14ac:dyDescent="0.2">
      <c r="B14" s="69" t="s">
        <v>162</v>
      </c>
    </row>
    <row r="15" spans="1:19" x14ac:dyDescent="0.2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0.80556113694331322</v>
      </c>
      <c r="G15" s="92" t="str">
        <f xml:space="preserve">  InpS!G$58</f>
        <v>%</v>
      </c>
      <c r="M15" s="93"/>
    </row>
    <row r="16" spans="1:19" x14ac:dyDescent="0.2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1554.56</v>
      </c>
      <c r="G16" s="72" t="str">
        <f xml:space="preserve">  'Cost to serve'!G$17</f>
        <v>000 customers</v>
      </c>
      <c r="M16" s="73"/>
    </row>
    <row r="17" spans="1:13" x14ac:dyDescent="0.2">
      <c r="E17" s="70" t="s">
        <v>162</v>
      </c>
      <c r="F17" s="93">
        <f xml:space="preserve">  $F15 / $F16</f>
        <v>5.1819237401149734E-4</v>
      </c>
      <c r="G17" s="70" t="s">
        <v>161</v>
      </c>
      <c r="M17" s="93"/>
    </row>
    <row r="20" spans="1:13" x14ac:dyDescent="0.2">
      <c r="B20" s="69" t="s">
        <v>163</v>
      </c>
    </row>
    <row r="21" spans="1:13" x14ac:dyDescent="0.2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392.33159812698005</v>
      </c>
      <c r="G21" s="88" t="str">
        <f xml:space="preserve">  InpS!G$33</f>
        <v>£m</v>
      </c>
      <c r="M21" s="89"/>
    </row>
    <row r="22" spans="1:13" x14ac:dyDescent="0.2">
      <c r="E22" s="93" t="str">
        <f t="shared" ref="E22:G22" si="0" xml:space="preserve">  E$17</f>
        <v>Housing apportionment per customer PR24</v>
      </c>
      <c r="F22" s="93">
        <f t="shared" si="0"/>
        <v>5.1819237401149734E-4</v>
      </c>
      <c r="G22" s="93" t="str">
        <f t="shared" si="0"/>
        <v>% / customer</v>
      </c>
      <c r="M22" s="93"/>
    </row>
    <row r="23" spans="1:13" x14ac:dyDescent="0.2">
      <c r="E23" s="93" t="str">
        <f t="shared" ref="E23:G23" si="1" xml:space="preserve">  E$11</f>
        <v>Housing apportionment per customer PR19</v>
      </c>
      <c r="F23" s="93">
        <f t="shared" si="1"/>
        <v>5.5264571076071313E-4</v>
      </c>
      <c r="G23" s="93" t="str">
        <f t="shared" si="1"/>
        <v>% / customer</v>
      </c>
      <c r="M23" s="93"/>
    </row>
    <row r="24" spans="1:13" x14ac:dyDescent="0.2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2">
      <c r="A25" s="75"/>
      <c r="B25" s="75"/>
      <c r="C25" s="75"/>
      <c r="D25" s="75"/>
      <c r="E25" s="75" t="s">
        <v>163</v>
      </c>
      <c r="F25" s="94">
        <f xml:space="preserve">  $F21 * ( $F22 - $F23 ) * $F24</f>
        <v>-13.517132667626846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26" priority="3" stopIfTrue="1" operator="equal">
      <formula>""</formula>
    </cfRule>
  </conditionalFormatting>
  <conditionalFormatting sqref="F2:F3">
    <cfRule type="cellIs" dxfId="25" priority="1" stopIfTrue="1" operator="notEqual">
      <formula>0</formula>
    </cfRule>
  </conditionalFormatting>
  <conditionalFormatting sqref="J3:S3">
    <cfRule type="cellIs" dxfId="24" priority="9" operator="equal">
      <formula>"PPA ext."</formula>
    </cfRule>
    <cfRule type="cellIs" dxfId="23" priority="10" operator="equal">
      <formula>"Delay"</formula>
    </cfRule>
    <cfRule type="cellIs" dxfId="22" priority="11" operator="equal">
      <formula>"Fin Close"</formula>
    </cfRule>
    <cfRule type="cellIs" dxfId="21" priority="12" stopIfTrue="1" operator="equal">
      <formula>"Construction"</formula>
    </cfRule>
    <cfRule type="cellIs" dxfId="20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S207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212" sqref="A212:E212"/>
    </sheetView>
  </sheetViews>
  <sheetFormatPr defaultColWidth="0" defaultRowHeight="13" outlineLevelRow="1" x14ac:dyDescent="0.2"/>
  <cols>
    <col min="1" max="4" width="1.44140625" style="70" customWidth="1"/>
    <col min="5" max="5" width="46.33203125" style="70" bestFit="1" customWidth="1"/>
    <col min="6" max="6" width="18.6640625" style="70" bestFit="1" customWidth="1"/>
    <col min="7" max="7" width="14.7773437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164</v>
      </c>
    </row>
    <row r="9" spans="1:19" x14ac:dyDescent="0.2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22.877821034166924</v>
      </c>
      <c r="G9" s="88" t="str">
        <f xml:space="preserve">  Totex!G$93</f>
        <v>£ / customer</v>
      </c>
      <c r="M9" s="89"/>
    </row>
    <row r="10" spans="1:19" x14ac:dyDescent="0.2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-7.1735577571742493</v>
      </c>
      <c r="G10" s="88" t="str">
        <f xml:space="preserve">  Totex!G$112</f>
        <v>£ / customer</v>
      </c>
      <c r="M10" s="89"/>
    </row>
    <row r="11" spans="1:19" x14ac:dyDescent="0.2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12.629340622591624</v>
      </c>
      <c r="G11" s="88" t="str">
        <f xml:space="preserve">  RCV!G$73</f>
        <v>£ / customer</v>
      </c>
      <c r="M11" s="89"/>
    </row>
    <row r="12" spans="1:19" x14ac:dyDescent="0.2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-11.321470512588935</v>
      </c>
      <c r="G12" s="88" t="str">
        <f xml:space="preserve">  RCV!G$80</f>
        <v>£ / customer</v>
      </c>
      <c r="M12" s="89"/>
    </row>
    <row r="13" spans="1:19" x14ac:dyDescent="0.2">
      <c r="E13" s="70" t="s">
        <v>164</v>
      </c>
      <c r="F13" s="89">
        <f xml:space="preserve">  $F9 + $F10 + $F11 + $F12</f>
        <v>17.012133386995362</v>
      </c>
      <c r="G13" s="70" t="s">
        <v>50</v>
      </c>
      <c r="M13" s="89"/>
    </row>
    <row r="17" spans="1:13" x14ac:dyDescent="0.2">
      <c r="A17" s="69" t="s">
        <v>165</v>
      </c>
    </row>
    <row r="18" spans="1:13" outlineLevel="1" x14ac:dyDescent="0.2">
      <c r="B18" s="69" t="s">
        <v>166</v>
      </c>
    </row>
    <row r="19" spans="1:13" outlineLevel="1" x14ac:dyDescent="0.2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1374</v>
      </c>
      <c r="G19" s="88" t="str">
        <f xml:space="preserve">  InpS!G$72</f>
        <v>£m</v>
      </c>
      <c r="M19" s="89"/>
    </row>
    <row r="20" spans="1:13" outlineLevel="1" x14ac:dyDescent="0.2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1091</v>
      </c>
      <c r="G20" s="88" t="str">
        <f xml:space="preserve">  InpS!G$71</f>
        <v>£m</v>
      </c>
      <c r="M20" s="89"/>
    </row>
    <row r="21" spans="1:13" outlineLevel="1" x14ac:dyDescent="0.2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outlineLevel="1" x14ac:dyDescent="0.2">
      <c r="E22" s="70" t="s">
        <v>166</v>
      </c>
      <c r="F22" s="89">
        <f xml:space="preserve">  $F19 - ( $F20 * $F21 )</f>
        <v>85.92907404445873</v>
      </c>
      <c r="G22" s="70" t="s">
        <v>29</v>
      </c>
      <c r="M22" s="89"/>
    </row>
    <row r="23" spans="1:13" outlineLevel="1" x14ac:dyDescent="0.2"/>
    <row r="24" spans="1:13" outlineLevel="1" x14ac:dyDescent="0.2"/>
    <row r="25" spans="1:13" outlineLevel="1" x14ac:dyDescent="0.2">
      <c r="B25" s="69" t="s">
        <v>167</v>
      </c>
    </row>
    <row r="26" spans="1:13" outlineLevel="1" x14ac:dyDescent="0.2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0</v>
      </c>
      <c r="G26" s="88" t="str">
        <f xml:space="preserve">  InpS!G$74</f>
        <v>£m</v>
      </c>
      <c r="M26" s="89"/>
    </row>
    <row r="27" spans="1:13" outlineLevel="1" x14ac:dyDescent="0.2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0</v>
      </c>
      <c r="G27" s="88" t="str">
        <f xml:space="preserve">  InpS!G$73</f>
        <v>£m</v>
      </c>
      <c r="M27" s="89"/>
    </row>
    <row r="28" spans="1:13" outlineLevel="1" x14ac:dyDescent="0.2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outlineLevel="1" x14ac:dyDescent="0.2">
      <c r="E29" s="70" t="s">
        <v>167</v>
      </c>
      <c r="F29" s="89">
        <f xml:space="preserve">  $F26 - ( $F27 * $F28 )</f>
        <v>0</v>
      </c>
      <c r="G29" s="70" t="s">
        <v>29</v>
      </c>
      <c r="M29" s="89"/>
    </row>
    <row r="30" spans="1:13" outlineLevel="1" x14ac:dyDescent="0.2"/>
    <row r="31" spans="1:13" outlineLevel="1" x14ac:dyDescent="0.2"/>
    <row r="32" spans="1:13" outlineLevel="1" x14ac:dyDescent="0.2">
      <c r="B32" s="69" t="s">
        <v>168</v>
      </c>
    </row>
    <row r="33" spans="1:13" outlineLevel="1" x14ac:dyDescent="0.2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0</v>
      </c>
      <c r="G33" s="88" t="str">
        <f xml:space="preserve">  InpS!G$76</f>
        <v>£m</v>
      </c>
      <c r="M33" s="89"/>
    </row>
    <row r="34" spans="1:13" outlineLevel="1" x14ac:dyDescent="0.2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0</v>
      </c>
      <c r="G34" s="88" t="str">
        <f xml:space="preserve">  InpS!G$75</f>
        <v>£m</v>
      </c>
      <c r="M34" s="89"/>
    </row>
    <row r="35" spans="1:13" outlineLevel="1" x14ac:dyDescent="0.2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outlineLevel="1" x14ac:dyDescent="0.2">
      <c r="E36" s="70" t="s">
        <v>168</v>
      </c>
      <c r="F36" s="89">
        <f xml:space="preserve">  $F33 - ( $F34 * $F35 )</f>
        <v>0</v>
      </c>
      <c r="G36" s="70" t="s">
        <v>29</v>
      </c>
      <c r="M36" s="89"/>
    </row>
    <row r="37" spans="1:13" outlineLevel="1" x14ac:dyDescent="0.2"/>
    <row r="38" spans="1:13" outlineLevel="1" x14ac:dyDescent="0.2"/>
    <row r="39" spans="1:13" outlineLevel="1" x14ac:dyDescent="0.2">
      <c r="B39" s="69" t="s">
        <v>169</v>
      </c>
    </row>
    <row r="40" spans="1:13" outlineLevel="1" x14ac:dyDescent="0.2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32.61</v>
      </c>
      <c r="G40" s="88" t="str">
        <f xml:space="preserve">  InpS!G$78</f>
        <v>£m</v>
      </c>
      <c r="M40" s="89"/>
    </row>
    <row r="41" spans="1:13" outlineLevel="1" x14ac:dyDescent="0.2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13.6</v>
      </c>
      <c r="G41" s="88" t="str">
        <f xml:space="preserve">  InpS!G$77</f>
        <v>£m</v>
      </c>
      <c r="M41" s="89"/>
    </row>
    <row r="42" spans="1:13" outlineLevel="1" x14ac:dyDescent="0.2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outlineLevel="1" x14ac:dyDescent="0.2">
      <c r="E43" s="70" t="s">
        <v>169</v>
      </c>
      <c r="F43" s="89">
        <f xml:space="preserve">  $F40 - ( $F41 * $F42 )</f>
        <v>16.553387174156406</v>
      </c>
      <c r="G43" s="70" t="s">
        <v>29</v>
      </c>
      <c r="M43" s="89"/>
    </row>
    <row r="44" spans="1:13" outlineLevel="1" x14ac:dyDescent="0.2"/>
    <row r="45" spans="1:13" outlineLevel="1" x14ac:dyDescent="0.2"/>
    <row r="46" spans="1:13" outlineLevel="1" x14ac:dyDescent="0.2">
      <c r="B46" s="69" t="s">
        <v>170</v>
      </c>
    </row>
    <row r="47" spans="1:13" outlineLevel="1" x14ac:dyDescent="0.2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4.3</v>
      </c>
      <c r="G47" s="88" t="str">
        <f xml:space="preserve">  InpS!G$80</f>
        <v>£m</v>
      </c>
      <c r="M47" s="89"/>
    </row>
    <row r="48" spans="1:13" outlineLevel="1" x14ac:dyDescent="0.2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outlineLevel="1" x14ac:dyDescent="0.2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outlineLevel="1" x14ac:dyDescent="0.2">
      <c r="E50" s="70" t="s">
        <v>170</v>
      </c>
      <c r="F50" s="89">
        <f xml:space="preserve">  $F47 - ( $F48 * $F49 )</f>
        <v>4.3</v>
      </c>
      <c r="G50" s="70" t="s">
        <v>29</v>
      </c>
      <c r="M50" s="89"/>
    </row>
    <row r="51" spans="1:13" outlineLevel="1" x14ac:dyDescent="0.2"/>
    <row r="52" spans="1:13" outlineLevel="1" x14ac:dyDescent="0.2"/>
    <row r="53" spans="1:13" outlineLevel="1" x14ac:dyDescent="0.2">
      <c r="B53" s="69" t="s">
        <v>171</v>
      </c>
    </row>
    <row r="54" spans="1:13" outlineLevel="1" x14ac:dyDescent="0.2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385.29</v>
      </c>
      <c r="G54" s="88" t="str">
        <f xml:space="preserve">  InpS!G$82</f>
        <v>£m</v>
      </c>
      <c r="M54" s="89"/>
    </row>
    <row r="55" spans="1:13" outlineLevel="1" x14ac:dyDescent="0.2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120</v>
      </c>
      <c r="G55" s="88" t="str">
        <f xml:space="preserve">  InpS!G$81</f>
        <v>£m</v>
      </c>
      <c r="M55" s="89"/>
    </row>
    <row r="56" spans="1:13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outlineLevel="1" x14ac:dyDescent="0.2">
      <c r="E57" s="70" t="s">
        <v>171</v>
      </c>
      <c r="F57" s="89">
        <f xml:space="preserve">  $F54 - ( $F55 * $F56 )</f>
        <v>243.61400447785067</v>
      </c>
      <c r="G57" s="70" t="s">
        <v>29</v>
      </c>
      <c r="M57" s="89"/>
    </row>
    <row r="58" spans="1:13" outlineLevel="1" x14ac:dyDescent="0.2"/>
    <row r="59" spans="1:13" outlineLevel="1" x14ac:dyDescent="0.2"/>
    <row r="60" spans="1:13" outlineLevel="1" x14ac:dyDescent="0.2">
      <c r="B60" s="69" t="s">
        <v>172</v>
      </c>
    </row>
    <row r="61" spans="1:13" outlineLevel="1" x14ac:dyDescent="0.2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165.97</v>
      </c>
      <c r="G61" s="88" t="str">
        <f xml:space="preserve">  InpS!G$84</f>
        <v>£m</v>
      </c>
      <c r="M61" s="89"/>
    </row>
    <row r="62" spans="1:13" outlineLevel="1" x14ac:dyDescent="0.2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121</v>
      </c>
      <c r="G62" s="88" t="str">
        <f xml:space="preserve">  InpS!G$83</f>
        <v>£m</v>
      </c>
      <c r="M62" s="89"/>
    </row>
    <row r="63" spans="1:13" outlineLevel="1" x14ac:dyDescent="0.2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outlineLevel="1" x14ac:dyDescent="0.2">
      <c r="E64" s="70" t="s">
        <v>172</v>
      </c>
      <c r="F64" s="89">
        <f xml:space="preserve">  $F61 - ( $F62 * $F63 )</f>
        <v>23.113371181832719</v>
      </c>
      <c r="G64" s="70" t="s">
        <v>29</v>
      </c>
      <c r="M64" s="89"/>
    </row>
    <row r="65" spans="1:13" outlineLevel="1" x14ac:dyDescent="0.2"/>
    <row r="66" spans="1:13" outlineLevel="1" x14ac:dyDescent="0.2"/>
    <row r="67" spans="1:13" outlineLevel="1" x14ac:dyDescent="0.2">
      <c r="B67" s="69" t="s">
        <v>173</v>
      </c>
    </row>
    <row r="68" spans="1:13" outlineLevel="1" x14ac:dyDescent="0.2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0</v>
      </c>
      <c r="G68" s="88" t="str">
        <f xml:space="preserve">  InpS!G$86</f>
        <v>£m</v>
      </c>
      <c r="M68" s="89"/>
    </row>
    <row r="69" spans="1:13" outlineLevel="1" x14ac:dyDescent="0.2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0</v>
      </c>
      <c r="G69" s="88" t="str">
        <f xml:space="preserve">  InpS!G$85</f>
        <v>£m</v>
      </c>
      <c r="M69" s="89"/>
    </row>
    <row r="70" spans="1:13" outlineLevel="1" x14ac:dyDescent="0.2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outlineLevel="1" x14ac:dyDescent="0.2">
      <c r="E71" s="70" t="s">
        <v>173</v>
      </c>
      <c r="F71" s="89">
        <f xml:space="preserve">  $F68 - ( $F69 * $F70 )</f>
        <v>0</v>
      </c>
      <c r="G71" s="70" t="s">
        <v>29</v>
      </c>
      <c r="M71" s="89"/>
    </row>
    <row r="72" spans="1:13" outlineLevel="1" x14ac:dyDescent="0.2"/>
    <row r="73" spans="1:13" outlineLevel="1" x14ac:dyDescent="0.2"/>
    <row r="74" spans="1:13" outlineLevel="1" x14ac:dyDescent="0.2">
      <c r="B74" s="69" t="s">
        <v>174</v>
      </c>
    </row>
    <row r="75" spans="1:13" outlineLevel="1" x14ac:dyDescent="0.2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0</v>
      </c>
      <c r="G75" s="88" t="str">
        <f xml:space="preserve">  InpS!G$88</f>
        <v>£m</v>
      </c>
      <c r="M75" s="89"/>
    </row>
    <row r="76" spans="1:13" outlineLevel="1" x14ac:dyDescent="0.2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11.9</v>
      </c>
      <c r="G76" s="88" t="str">
        <f xml:space="preserve">  InpS!G$87</f>
        <v>£m</v>
      </c>
      <c r="M76" s="89"/>
    </row>
    <row r="77" spans="1:13" outlineLevel="1" x14ac:dyDescent="0.2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outlineLevel="1" x14ac:dyDescent="0.2">
      <c r="E78" s="70" t="s">
        <v>174</v>
      </c>
      <c r="F78" s="89">
        <f xml:space="preserve">  $F75 - ( $F76 * $F77 )</f>
        <v>-14.049536222613145</v>
      </c>
      <c r="G78" s="70" t="s">
        <v>29</v>
      </c>
      <c r="M78" s="89"/>
    </row>
    <row r="79" spans="1:13" outlineLevel="1" x14ac:dyDescent="0.2"/>
    <row r="80" spans="1:13" outlineLevel="1" x14ac:dyDescent="0.2"/>
    <row r="81" spans="1:13" outlineLevel="1" x14ac:dyDescent="0.2">
      <c r="B81" s="69" t="s">
        <v>175</v>
      </c>
    </row>
    <row r="82" spans="1:13" outlineLevel="1" x14ac:dyDescent="0.2">
      <c r="E82" s="89" t="str">
        <f t="shared" ref="E82:G82" si="0" xml:space="preserve">  E$22</f>
        <v>Base expenditure delta</v>
      </c>
      <c r="F82" s="89">
        <f t="shared" si="0"/>
        <v>85.92907404445873</v>
      </c>
      <c r="G82" s="89" t="str">
        <f t="shared" si="0"/>
        <v>£m</v>
      </c>
      <c r="M82" s="89"/>
    </row>
    <row r="83" spans="1:13" outlineLevel="1" x14ac:dyDescent="0.2">
      <c r="E83" s="89" t="str">
        <f t="shared" ref="E83:G83" si="1" xml:space="preserve">  E$29</f>
        <v>Storm overflows delta</v>
      </c>
      <c r="F83" s="89">
        <f t="shared" si="1"/>
        <v>0</v>
      </c>
      <c r="G83" s="89" t="str">
        <f t="shared" si="1"/>
        <v>£m</v>
      </c>
      <c r="M83" s="89"/>
    </row>
    <row r="84" spans="1:13" outlineLevel="1" x14ac:dyDescent="0.2">
      <c r="E84" s="89" t="str">
        <f t="shared" ref="E84:G84" si="2" xml:space="preserve">  E$36</f>
        <v>Nutrient removal delta</v>
      </c>
      <c r="F84" s="89">
        <f t="shared" si="2"/>
        <v>0</v>
      </c>
      <c r="G84" s="89" t="str">
        <f t="shared" si="2"/>
        <v>£m</v>
      </c>
      <c r="M84" s="89"/>
    </row>
    <row r="85" spans="1:13" outlineLevel="1" x14ac:dyDescent="0.2">
      <c r="E85" s="89" t="str">
        <f t="shared" ref="E85:G85" si="3" xml:space="preserve">  E$43</f>
        <v>Resilience delta</v>
      </c>
      <c r="F85" s="89">
        <f t="shared" si="3"/>
        <v>16.553387174156406</v>
      </c>
      <c r="G85" s="89" t="str">
        <f t="shared" si="3"/>
        <v>£m</v>
      </c>
      <c r="M85" s="89"/>
    </row>
    <row r="86" spans="1:13" outlineLevel="1" x14ac:dyDescent="0.2">
      <c r="E86" s="89" t="str">
        <f t="shared" ref="E86:G86" si="4" xml:space="preserve">  E$50</f>
        <v>Net zero delta</v>
      </c>
      <c r="F86" s="89">
        <f t="shared" si="4"/>
        <v>4.3</v>
      </c>
      <c r="G86" s="89" t="str">
        <f t="shared" si="4"/>
        <v>£m</v>
      </c>
      <c r="M86" s="89"/>
    </row>
    <row r="87" spans="1:13" outlineLevel="1" x14ac:dyDescent="0.2">
      <c r="E87" s="89" t="str">
        <f t="shared" ref="E87:G87" si="5" xml:space="preserve">  E$57</f>
        <v>WRMP delta</v>
      </c>
      <c r="F87" s="89">
        <f t="shared" si="5"/>
        <v>243.61400447785067</v>
      </c>
      <c r="G87" s="89" t="str">
        <f t="shared" si="5"/>
        <v>£m</v>
      </c>
      <c r="M87" s="89"/>
    </row>
    <row r="88" spans="1:13" outlineLevel="1" x14ac:dyDescent="0.2">
      <c r="E88" s="89" t="str">
        <f t="shared" ref="E88:G88" si="6" xml:space="preserve">  E$64</f>
        <v>Environmental delta</v>
      </c>
      <c r="F88" s="89">
        <f t="shared" si="6"/>
        <v>23.113371181832719</v>
      </c>
      <c r="G88" s="89" t="str">
        <f t="shared" si="6"/>
        <v>£m</v>
      </c>
      <c r="M88" s="89"/>
    </row>
    <row r="89" spans="1:13" outlineLevel="1" x14ac:dyDescent="0.2">
      <c r="E89" s="89" t="str">
        <f t="shared" ref="E89:G89" si="7" xml:space="preserve">  E$71</f>
        <v>Other environmental delta</v>
      </c>
      <c r="F89" s="89">
        <f t="shared" si="7"/>
        <v>0</v>
      </c>
      <c r="G89" s="89" t="str">
        <f t="shared" si="7"/>
        <v>£m</v>
      </c>
      <c r="M89" s="89"/>
    </row>
    <row r="90" spans="1:13" outlineLevel="1" x14ac:dyDescent="0.2">
      <c r="E90" s="89" t="str">
        <f t="shared" ref="E90:G90" si="8" xml:space="preserve">  E$78</f>
        <v>Other enhancement costs delta</v>
      </c>
      <c r="F90" s="89">
        <f t="shared" si="8"/>
        <v>-14.049536222613145</v>
      </c>
      <c r="G90" s="89" t="str">
        <f t="shared" si="8"/>
        <v>£m</v>
      </c>
      <c r="M90" s="89"/>
    </row>
    <row r="91" spans="1:13" outlineLevel="1" x14ac:dyDescent="0.2">
      <c r="E91" s="70" t="s">
        <v>175</v>
      </c>
      <c r="F91" s="89">
        <f xml:space="preserve">  $F82 + $F83 + $F84 + $F85 + $F86 + $F87 + $F88 + $F89 + $F90</f>
        <v>359.46030065568539</v>
      </c>
      <c r="G91" s="70" t="s">
        <v>29</v>
      </c>
      <c r="M91" s="89"/>
    </row>
    <row r="92" spans="1:13" outlineLevel="1" x14ac:dyDescent="0.2"/>
    <row r="95" spans="1:13" x14ac:dyDescent="0.2">
      <c r="A95" s="69" t="s">
        <v>176</v>
      </c>
    </row>
    <row r="96" spans="1:13" outlineLevel="1" x14ac:dyDescent="0.2">
      <c r="B96" s="69" t="s">
        <v>177</v>
      </c>
    </row>
    <row r="97" spans="2:13" outlineLevel="1" x14ac:dyDescent="0.2">
      <c r="E97" s="89" t="str">
        <f t="shared" ref="E97:G97" si="9" xml:space="preserve">  E$91</f>
        <v>Total expenditure category delta</v>
      </c>
      <c r="F97" s="89">
        <f t="shared" si="9"/>
        <v>359.46030065568539</v>
      </c>
      <c r="G97" s="89" t="str">
        <f t="shared" si="9"/>
        <v>£m</v>
      </c>
      <c r="M97" s="89"/>
    </row>
    <row r="98" spans="2:13" outlineLevel="1" x14ac:dyDescent="0.2">
      <c r="E98" s="89" t="str">
        <f t="shared" ref="E98:G98" si="10" xml:space="preserve">  E$22</f>
        <v>Base expenditure delta</v>
      </c>
      <c r="F98" s="89">
        <f t="shared" si="10"/>
        <v>85.92907404445873</v>
      </c>
      <c r="G98" s="89" t="str">
        <f t="shared" si="10"/>
        <v>£m</v>
      </c>
      <c r="M98" s="89"/>
    </row>
    <row r="99" spans="2:13" outlineLevel="1" x14ac:dyDescent="0.2">
      <c r="E99" s="70" t="s">
        <v>177</v>
      </c>
      <c r="F99" s="91">
        <f xml:space="preserve">  IF( $F97 = 0, 0, $F98 / $F97 )</f>
        <v>0.23905024807389572</v>
      </c>
      <c r="G99" s="70" t="s">
        <v>115</v>
      </c>
      <c r="M99" s="91"/>
    </row>
    <row r="100" spans="2:13" outlineLevel="1" x14ac:dyDescent="0.2"/>
    <row r="101" spans="2:13" outlineLevel="1" x14ac:dyDescent="0.2"/>
    <row r="102" spans="2:13" outlineLevel="1" x14ac:dyDescent="0.2">
      <c r="B102" s="69" t="s">
        <v>178</v>
      </c>
    </row>
    <row r="103" spans="2:13" outlineLevel="1" x14ac:dyDescent="0.2">
      <c r="E103" s="89" t="str">
        <f t="shared" ref="E103:G103" si="11" xml:space="preserve">  E$91</f>
        <v>Total expenditure category delta</v>
      </c>
      <c r="F103" s="89">
        <f t="shared" si="11"/>
        <v>359.46030065568539</v>
      </c>
      <c r="G103" s="89" t="str">
        <f t="shared" si="11"/>
        <v>£m</v>
      </c>
      <c r="M103" s="89"/>
    </row>
    <row r="104" spans="2:13" outlineLevel="1" x14ac:dyDescent="0.2">
      <c r="E104" s="89" t="str">
        <f t="shared" ref="E104:G104" si="12" xml:space="preserve">  E$29</f>
        <v>Storm overflows delta</v>
      </c>
      <c r="F104" s="89">
        <f t="shared" si="12"/>
        <v>0</v>
      </c>
      <c r="G104" s="89" t="str">
        <f t="shared" si="12"/>
        <v>£m</v>
      </c>
      <c r="M104" s="89"/>
    </row>
    <row r="105" spans="2:13" outlineLevel="1" x14ac:dyDescent="0.2">
      <c r="E105" s="70" t="s">
        <v>178</v>
      </c>
      <c r="F105" s="91">
        <f xml:space="preserve">  IF( $F103 = 0, 0, $F104 / $F103 )</f>
        <v>0</v>
      </c>
      <c r="G105" s="70" t="s">
        <v>115</v>
      </c>
      <c r="M105" s="91"/>
    </row>
    <row r="106" spans="2:13" outlineLevel="1" x14ac:dyDescent="0.2"/>
    <row r="107" spans="2:13" outlineLevel="1" x14ac:dyDescent="0.2"/>
    <row r="108" spans="2:13" outlineLevel="1" x14ac:dyDescent="0.2">
      <c r="B108" s="69" t="s">
        <v>179</v>
      </c>
    </row>
    <row r="109" spans="2:13" outlineLevel="1" x14ac:dyDescent="0.2">
      <c r="E109" s="89" t="str">
        <f t="shared" ref="E109:G109" si="13" xml:space="preserve">  E$91</f>
        <v>Total expenditure category delta</v>
      </c>
      <c r="F109" s="89">
        <f t="shared" si="13"/>
        <v>359.46030065568539</v>
      </c>
      <c r="G109" s="89" t="str">
        <f t="shared" si="13"/>
        <v>£m</v>
      </c>
      <c r="M109" s="89"/>
    </row>
    <row r="110" spans="2:13" outlineLevel="1" x14ac:dyDescent="0.2">
      <c r="E110" s="89" t="str">
        <f t="shared" ref="E110:G110" si="14" xml:space="preserve">  E$36</f>
        <v>Nutrient removal delta</v>
      </c>
      <c r="F110" s="89">
        <f t="shared" si="14"/>
        <v>0</v>
      </c>
      <c r="G110" s="89" t="str">
        <f t="shared" si="14"/>
        <v>£m</v>
      </c>
      <c r="M110" s="89"/>
    </row>
    <row r="111" spans="2:13" outlineLevel="1" x14ac:dyDescent="0.2">
      <c r="E111" s="70" t="s">
        <v>179</v>
      </c>
      <c r="F111" s="91">
        <f xml:space="preserve">  IF( $F109 = 0, 0, $F110 / $F109 )</f>
        <v>0</v>
      </c>
      <c r="G111" s="70" t="s">
        <v>115</v>
      </c>
      <c r="M111" s="91"/>
    </row>
    <row r="112" spans="2:13" outlineLevel="1" x14ac:dyDescent="0.2"/>
    <row r="113" spans="2:13" outlineLevel="1" x14ac:dyDescent="0.2"/>
    <row r="114" spans="2:13" outlineLevel="1" x14ac:dyDescent="0.2">
      <c r="B114" s="69" t="s">
        <v>180</v>
      </c>
    </row>
    <row r="115" spans="2:13" outlineLevel="1" x14ac:dyDescent="0.2">
      <c r="E115" s="89" t="str">
        <f t="shared" ref="E115:G115" si="15" xml:space="preserve">  E$91</f>
        <v>Total expenditure category delta</v>
      </c>
      <c r="F115" s="89">
        <f t="shared" si="15"/>
        <v>359.46030065568539</v>
      </c>
      <c r="G115" s="89" t="str">
        <f t="shared" si="15"/>
        <v>£m</v>
      </c>
      <c r="M115" s="89"/>
    </row>
    <row r="116" spans="2:13" outlineLevel="1" x14ac:dyDescent="0.2">
      <c r="E116" s="89" t="str">
        <f t="shared" ref="E116:G116" si="16" xml:space="preserve">  E$43</f>
        <v>Resilience delta</v>
      </c>
      <c r="F116" s="89">
        <f t="shared" si="16"/>
        <v>16.553387174156406</v>
      </c>
      <c r="G116" s="89" t="str">
        <f t="shared" si="16"/>
        <v>£m</v>
      </c>
      <c r="M116" s="89"/>
    </row>
    <row r="117" spans="2:13" outlineLevel="1" x14ac:dyDescent="0.2">
      <c r="E117" s="70" t="s">
        <v>180</v>
      </c>
      <c r="F117" s="91">
        <f xml:space="preserve">  IF( $F115 = 0, 0, $F116 / $F115 )</f>
        <v>4.605066858276604E-2</v>
      </c>
      <c r="G117" s="70" t="s">
        <v>115</v>
      </c>
      <c r="M117" s="91"/>
    </row>
    <row r="118" spans="2:13" outlineLevel="1" x14ac:dyDescent="0.2"/>
    <row r="119" spans="2:13" outlineLevel="1" x14ac:dyDescent="0.2"/>
    <row r="120" spans="2:13" outlineLevel="1" x14ac:dyDescent="0.2">
      <c r="B120" s="69" t="s">
        <v>181</v>
      </c>
    </row>
    <row r="121" spans="2:13" outlineLevel="1" x14ac:dyDescent="0.2">
      <c r="E121" s="89" t="str">
        <f t="shared" ref="E121:G121" si="17" xml:space="preserve">  E$91</f>
        <v>Total expenditure category delta</v>
      </c>
      <c r="F121" s="89">
        <f t="shared" si="17"/>
        <v>359.46030065568539</v>
      </c>
      <c r="G121" s="89" t="str">
        <f t="shared" si="17"/>
        <v>£m</v>
      </c>
      <c r="M121" s="89"/>
    </row>
    <row r="122" spans="2:13" outlineLevel="1" x14ac:dyDescent="0.2">
      <c r="E122" s="89" t="str">
        <f t="shared" ref="E122:G122" si="18" xml:space="preserve">  E$50</f>
        <v>Net zero delta</v>
      </c>
      <c r="F122" s="89">
        <f t="shared" si="18"/>
        <v>4.3</v>
      </c>
      <c r="G122" s="89" t="str">
        <f t="shared" si="18"/>
        <v>£m</v>
      </c>
      <c r="M122" s="89"/>
    </row>
    <row r="123" spans="2:13" outlineLevel="1" x14ac:dyDescent="0.2">
      <c r="E123" s="70" t="s">
        <v>181</v>
      </c>
      <c r="F123" s="91">
        <f xml:space="preserve">  IF( $F121 = 0, 0, $F122 / $F121 )</f>
        <v>1.1962378021039997E-2</v>
      </c>
      <c r="G123" s="70" t="s">
        <v>115</v>
      </c>
      <c r="M123" s="91"/>
    </row>
    <row r="124" spans="2:13" outlineLevel="1" x14ac:dyDescent="0.2"/>
    <row r="125" spans="2:13" outlineLevel="1" x14ac:dyDescent="0.2"/>
    <row r="126" spans="2:13" outlineLevel="1" x14ac:dyDescent="0.2">
      <c r="B126" s="69" t="s">
        <v>182</v>
      </c>
    </row>
    <row r="127" spans="2:13" outlineLevel="1" x14ac:dyDescent="0.2">
      <c r="E127" s="89" t="str">
        <f t="shared" ref="E127:G127" si="19" xml:space="preserve">  E$91</f>
        <v>Total expenditure category delta</v>
      </c>
      <c r="F127" s="89">
        <f t="shared" si="19"/>
        <v>359.46030065568539</v>
      </c>
      <c r="G127" s="89" t="str">
        <f t="shared" si="19"/>
        <v>£m</v>
      </c>
      <c r="M127" s="89"/>
    </row>
    <row r="128" spans="2:13" outlineLevel="1" x14ac:dyDescent="0.2">
      <c r="E128" s="89" t="str">
        <f t="shared" ref="E128:G128" si="20" xml:space="preserve">  E$57</f>
        <v>WRMP delta</v>
      </c>
      <c r="F128" s="89">
        <f t="shared" si="20"/>
        <v>243.61400447785067</v>
      </c>
      <c r="G128" s="89" t="str">
        <f t="shared" si="20"/>
        <v>£m</v>
      </c>
      <c r="M128" s="89"/>
    </row>
    <row r="129" spans="2:13" outlineLevel="1" x14ac:dyDescent="0.2">
      <c r="E129" s="70" t="s">
        <v>182</v>
      </c>
      <c r="F129" s="91">
        <f xml:space="preserve">  IF( $F127 = 0, 0, $F128 / $F127 )</f>
        <v>0.67772158436822794</v>
      </c>
      <c r="G129" s="70" t="s">
        <v>115</v>
      </c>
      <c r="M129" s="91"/>
    </row>
    <row r="130" spans="2:13" outlineLevel="1" x14ac:dyDescent="0.2"/>
    <row r="131" spans="2:13" outlineLevel="1" x14ac:dyDescent="0.2"/>
    <row r="132" spans="2:13" outlineLevel="1" x14ac:dyDescent="0.2">
      <c r="B132" s="69" t="s">
        <v>183</v>
      </c>
    </row>
    <row r="133" spans="2:13" outlineLevel="1" x14ac:dyDescent="0.2">
      <c r="E133" s="89" t="str">
        <f t="shared" ref="E133:G133" si="21" xml:space="preserve">  E$91</f>
        <v>Total expenditure category delta</v>
      </c>
      <c r="F133" s="89">
        <f t="shared" si="21"/>
        <v>359.46030065568539</v>
      </c>
      <c r="G133" s="89" t="str">
        <f t="shared" si="21"/>
        <v>£m</v>
      </c>
      <c r="M133" s="89"/>
    </row>
    <row r="134" spans="2:13" outlineLevel="1" x14ac:dyDescent="0.2">
      <c r="E134" s="89" t="str">
        <f t="shared" ref="E134:G134" si="22" xml:space="preserve">  E$64</f>
        <v>Environmental delta</v>
      </c>
      <c r="F134" s="89">
        <f t="shared" si="22"/>
        <v>23.113371181832719</v>
      </c>
      <c r="G134" s="89" t="str">
        <f t="shared" si="22"/>
        <v>£m</v>
      </c>
      <c r="M134" s="89"/>
    </row>
    <row r="135" spans="2:13" outlineLevel="1" x14ac:dyDescent="0.2">
      <c r="E135" s="70" t="s">
        <v>183</v>
      </c>
      <c r="F135" s="91">
        <f xml:space="preserve">  IF( $F133 = 0, 0, $F134 / $F133 )</f>
        <v>6.4300205445975575E-2</v>
      </c>
      <c r="G135" s="70" t="s">
        <v>115</v>
      </c>
      <c r="M135" s="91"/>
    </row>
    <row r="136" spans="2:13" outlineLevel="1" x14ac:dyDescent="0.2"/>
    <row r="137" spans="2:13" outlineLevel="1" x14ac:dyDescent="0.2"/>
    <row r="138" spans="2:13" outlineLevel="1" x14ac:dyDescent="0.2">
      <c r="B138" s="69" t="s">
        <v>184</v>
      </c>
    </row>
    <row r="139" spans="2:13" outlineLevel="1" x14ac:dyDescent="0.2">
      <c r="E139" s="89" t="str">
        <f t="shared" ref="E139:G139" si="23" xml:space="preserve">  E$91</f>
        <v>Total expenditure category delta</v>
      </c>
      <c r="F139" s="89">
        <f t="shared" si="23"/>
        <v>359.46030065568539</v>
      </c>
      <c r="G139" s="89" t="str">
        <f t="shared" si="23"/>
        <v>£m</v>
      </c>
      <c r="M139" s="89"/>
    </row>
    <row r="140" spans="2:13" outlineLevel="1" x14ac:dyDescent="0.2">
      <c r="E140" s="89" t="str">
        <f t="shared" ref="E140:G140" si="24" xml:space="preserve">  E$71</f>
        <v>Other environmental delta</v>
      </c>
      <c r="F140" s="89">
        <f t="shared" si="24"/>
        <v>0</v>
      </c>
      <c r="G140" s="89" t="str">
        <f t="shared" si="24"/>
        <v>£m</v>
      </c>
      <c r="M140" s="89"/>
    </row>
    <row r="141" spans="2:13" outlineLevel="1" x14ac:dyDescent="0.2">
      <c r="E141" s="70" t="s">
        <v>184</v>
      </c>
      <c r="F141" s="91">
        <f xml:space="preserve">  IF( $F139 = 0, 0, $F140 / $F139 )</f>
        <v>0</v>
      </c>
      <c r="G141" s="70" t="s">
        <v>115</v>
      </c>
      <c r="M141" s="91"/>
    </row>
    <row r="142" spans="2:13" outlineLevel="1" x14ac:dyDescent="0.2"/>
    <row r="143" spans="2:13" outlineLevel="1" x14ac:dyDescent="0.2"/>
    <row r="144" spans="2:13" outlineLevel="1" x14ac:dyDescent="0.2">
      <c r="B144" s="69" t="s">
        <v>185</v>
      </c>
    </row>
    <row r="145" spans="1:13" outlineLevel="1" x14ac:dyDescent="0.2">
      <c r="E145" s="89" t="str">
        <f t="shared" ref="E145:G145" si="25" xml:space="preserve">  E$91</f>
        <v>Total expenditure category delta</v>
      </c>
      <c r="F145" s="89">
        <f t="shared" si="25"/>
        <v>359.46030065568539</v>
      </c>
      <c r="G145" s="89" t="str">
        <f t="shared" si="25"/>
        <v>£m</v>
      </c>
      <c r="M145" s="89"/>
    </row>
    <row r="146" spans="1:13" outlineLevel="1" x14ac:dyDescent="0.2">
      <c r="E146" s="89" t="str">
        <f t="shared" ref="E146:G146" si="26" xml:space="preserve">  E$78</f>
        <v>Other enhancement costs delta</v>
      </c>
      <c r="F146" s="89">
        <f t="shared" si="26"/>
        <v>-14.049536222613145</v>
      </c>
      <c r="G146" s="89" t="str">
        <f t="shared" si="26"/>
        <v>£m</v>
      </c>
      <c r="M146" s="89"/>
    </row>
    <row r="147" spans="1:13" outlineLevel="1" x14ac:dyDescent="0.2">
      <c r="E147" s="70" t="s">
        <v>185</v>
      </c>
      <c r="F147" s="91">
        <f xml:space="preserve">  IF( $F145 = 0, 0, $F146 / $F145 )</f>
        <v>-3.90850844919053E-2</v>
      </c>
      <c r="G147" s="70" t="s">
        <v>115</v>
      </c>
      <c r="M147" s="91"/>
    </row>
    <row r="148" spans="1:13" outlineLevel="1" x14ac:dyDescent="0.2"/>
    <row r="151" spans="1:13" x14ac:dyDescent="0.2">
      <c r="A151" s="69" t="s">
        <v>186</v>
      </c>
    </row>
    <row r="152" spans="1:13" outlineLevel="1" x14ac:dyDescent="0.2">
      <c r="B152" s="69" t="s">
        <v>187</v>
      </c>
    </row>
    <row r="153" spans="1:13" outlineLevel="1" x14ac:dyDescent="0.2">
      <c r="E153" s="91" t="str">
        <f t="shared" ref="E153:G153" si="27" xml:space="preserve">  E$99</f>
        <v>Base expenditure proportion</v>
      </c>
      <c r="F153" s="91">
        <f t="shared" si="27"/>
        <v>0.23905024807389572</v>
      </c>
      <c r="G153" s="91" t="str">
        <f t="shared" si="27"/>
        <v>factor</v>
      </c>
      <c r="M153" s="91"/>
    </row>
    <row r="154" spans="1:13" outlineLevel="1" x14ac:dyDescent="0.2">
      <c r="E154" s="89" t="str">
        <f t="shared" ref="E154:G154" si="28" xml:space="preserve">  E$13</f>
        <v>Costs impact</v>
      </c>
      <c r="F154" s="89">
        <f t="shared" si="28"/>
        <v>17.012133386995362</v>
      </c>
      <c r="G154" s="89" t="str">
        <f t="shared" si="28"/>
        <v>£ / customer</v>
      </c>
      <c r="M154" s="89"/>
    </row>
    <row r="155" spans="1:13" outlineLevel="1" x14ac:dyDescent="0.2">
      <c r="E155" s="70" t="s">
        <v>187</v>
      </c>
      <c r="F155" s="89">
        <f xml:space="preserve">  $F153 * $F154</f>
        <v>4.066754706427445</v>
      </c>
      <c r="G155" s="70" t="s">
        <v>50</v>
      </c>
      <c r="M155" s="89"/>
    </row>
    <row r="156" spans="1:13" outlineLevel="1" x14ac:dyDescent="0.2"/>
    <row r="157" spans="1:13" outlineLevel="1" x14ac:dyDescent="0.2"/>
    <row r="158" spans="1:13" outlineLevel="1" x14ac:dyDescent="0.2">
      <c r="B158" s="69" t="s">
        <v>188</v>
      </c>
    </row>
    <row r="159" spans="1:13" outlineLevel="1" x14ac:dyDescent="0.2">
      <c r="E159" s="91" t="str">
        <f t="shared" ref="E159:G159" si="29" xml:space="preserve">  E$105</f>
        <v>Storm overflows proportion</v>
      </c>
      <c r="F159" s="91">
        <f t="shared" si="29"/>
        <v>0</v>
      </c>
      <c r="G159" s="91" t="str">
        <f t="shared" si="29"/>
        <v>factor</v>
      </c>
      <c r="M159" s="91"/>
    </row>
    <row r="160" spans="1:13" outlineLevel="1" x14ac:dyDescent="0.2">
      <c r="E160" s="89" t="str">
        <f t="shared" ref="E160:G160" si="30" xml:space="preserve">  E$13</f>
        <v>Costs impact</v>
      </c>
      <c r="F160" s="89">
        <f t="shared" si="30"/>
        <v>17.012133386995362</v>
      </c>
      <c r="G160" s="89" t="str">
        <f t="shared" si="30"/>
        <v>£ / customer</v>
      </c>
      <c r="M160" s="89"/>
    </row>
    <row r="161" spans="2:13" outlineLevel="1" x14ac:dyDescent="0.2">
      <c r="E161" s="70" t="s">
        <v>188</v>
      </c>
      <c r="F161" s="89">
        <f xml:space="preserve">  $F159 * $F160</f>
        <v>0</v>
      </c>
      <c r="G161" s="70" t="s">
        <v>50</v>
      </c>
      <c r="M161" s="89"/>
    </row>
    <row r="162" spans="2:13" outlineLevel="1" x14ac:dyDescent="0.2"/>
    <row r="163" spans="2:13" outlineLevel="1" x14ac:dyDescent="0.2"/>
    <row r="164" spans="2:13" outlineLevel="1" x14ac:dyDescent="0.2">
      <c r="B164" s="69" t="s">
        <v>189</v>
      </c>
    </row>
    <row r="165" spans="2:13" outlineLevel="1" x14ac:dyDescent="0.2">
      <c r="E165" s="91" t="str">
        <f t="shared" ref="E165:G165" si="31" xml:space="preserve">  E$111</f>
        <v>Nutrient removal proportion</v>
      </c>
      <c r="F165" s="91">
        <f t="shared" si="31"/>
        <v>0</v>
      </c>
      <c r="G165" s="91" t="str">
        <f t="shared" si="31"/>
        <v>factor</v>
      </c>
      <c r="M165" s="91"/>
    </row>
    <row r="166" spans="2:13" outlineLevel="1" x14ac:dyDescent="0.2">
      <c r="E166" s="89" t="str">
        <f t="shared" ref="E166:G166" si="32" xml:space="preserve">  E$13</f>
        <v>Costs impact</v>
      </c>
      <c r="F166" s="89">
        <f t="shared" si="32"/>
        <v>17.012133386995362</v>
      </c>
      <c r="G166" s="89" t="str">
        <f t="shared" si="32"/>
        <v>£ / customer</v>
      </c>
      <c r="M166" s="89"/>
    </row>
    <row r="167" spans="2:13" outlineLevel="1" x14ac:dyDescent="0.2">
      <c r="E167" s="70" t="s">
        <v>189</v>
      </c>
      <c r="F167" s="89">
        <f xml:space="preserve">  $F165 * $F166</f>
        <v>0</v>
      </c>
      <c r="G167" s="70" t="s">
        <v>50</v>
      </c>
      <c r="M167" s="89"/>
    </row>
    <row r="168" spans="2:13" outlineLevel="1" x14ac:dyDescent="0.2"/>
    <row r="169" spans="2:13" outlineLevel="1" x14ac:dyDescent="0.2"/>
    <row r="170" spans="2:13" outlineLevel="1" x14ac:dyDescent="0.2">
      <c r="B170" s="69" t="s">
        <v>190</v>
      </c>
    </row>
    <row r="171" spans="2:13" outlineLevel="1" x14ac:dyDescent="0.2">
      <c r="E171" s="91" t="str">
        <f t="shared" ref="E171:G171" si="33" xml:space="preserve">  E$117</f>
        <v>Resilience proportion</v>
      </c>
      <c r="F171" s="91">
        <f t="shared" si="33"/>
        <v>4.605066858276604E-2</v>
      </c>
      <c r="G171" s="91" t="str">
        <f t="shared" si="33"/>
        <v>factor</v>
      </c>
      <c r="M171" s="91"/>
    </row>
    <row r="172" spans="2:13" outlineLevel="1" x14ac:dyDescent="0.2">
      <c r="E172" s="89" t="str">
        <f t="shared" ref="E172:G172" si="34" xml:space="preserve">  E$13</f>
        <v>Costs impact</v>
      </c>
      <c r="F172" s="89">
        <f t="shared" si="34"/>
        <v>17.012133386995362</v>
      </c>
      <c r="G172" s="89" t="str">
        <f t="shared" si="34"/>
        <v>£ / customer</v>
      </c>
      <c r="M172" s="89"/>
    </row>
    <row r="173" spans="2:13" outlineLevel="1" x14ac:dyDescent="0.2">
      <c r="E173" s="70" t="s">
        <v>190</v>
      </c>
      <c r="F173" s="89">
        <f xml:space="preserve">  $F171 * $F172</f>
        <v>0.7834201164903325</v>
      </c>
      <c r="G173" s="70" t="s">
        <v>50</v>
      </c>
      <c r="M173" s="89"/>
    </row>
    <row r="174" spans="2:13" outlineLevel="1" x14ac:dyDescent="0.2"/>
    <row r="175" spans="2:13" outlineLevel="1" x14ac:dyDescent="0.2"/>
    <row r="176" spans="2:13" outlineLevel="1" x14ac:dyDescent="0.2">
      <c r="B176" s="69" t="s">
        <v>191</v>
      </c>
    </row>
    <row r="177" spans="2:13" outlineLevel="1" x14ac:dyDescent="0.2">
      <c r="E177" s="91" t="str">
        <f t="shared" ref="E177:G177" si="35" xml:space="preserve">  E$123</f>
        <v>Net zero proportion</v>
      </c>
      <c r="F177" s="91">
        <f t="shared" si="35"/>
        <v>1.1962378021039997E-2</v>
      </c>
      <c r="G177" s="91" t="str">
        <f t="shared" si="35"/>
        <v>factor</v>
      </c>
      <c r="M177" s="91"/>
    </row>
    <row r="178" spans="2:13" outlineLevel="1" x14ac:dyDescent="0.2">
      <c r="E178" s="89" t="str">
        <f t="shared" ref="E178:G178" si="36" xml:space="preserve">  E$13</f>
        <v>Costs impact</v>
      </c>
      <c r="F178" s="89">
        <f t="shared" si="36"/>
        <v>17.012133386995362</v>
      </c>
      <c r="G178" s="89" t="str">
        <f t="shared" si="36"/>
        <v>£ / customer</v>
      </c>
      <c r="M178" s="89"/>
    </row>
    <row r="179" spans="2:13" outlineLevel="1" x14ac:dyDescent="0.2">
      <c r="E179" s="70" t="s">
        <v>191</v>
      </c>
      <c r="F179" s="89">
        <f xml:space="preserve">  $F177 * $F178</f>
        <v>0.20350557051959406</v>
      </c>
      <c r="G179" s="70" t="s">
        <v>50</v>
      </c>
      <c r="M179" s="89"/>
    </row>
    <row r="180" spans="2:13" outlineLevel="1" x14ac:dyDescent="0.2"/>
    <row r="181" spans="2:13" outlineLevel="1" x14ac:dyDescent="0.2"/>
    <row r="182" spans="2:13" outlineLevel="1" x14ac:dyDescent="0.2">
      <c r="B182" s="69" t="s">
        <v>192</v>
      </c>
    </row>
    <row r="183" spans="2:13" outlineLevel="1" x14ac:dyDescent="0.2">
      <c r="E183" s="91" t="str">
        <f t="shared" ref="E183:G183" si="37" xml:space="preserve">  E$129</f>
        <v>WRMP proportion</v>
      </c>
      <c r="F183" s="91">
        <f t="shared" si="37"/>
        <v>0.67772158436822794</v>
      </c>
      <c r="G183" s="91" t="str">
        <f t="shared" si="37"/>
        <v>factor</v>
      </c>
      <c r="M183" s="91"/>
    </row>
    <row r="184" spans="2:13" outlineLevel="1" x14ac:dyDescent="0.2">
      <c r="E184" s="89" t="str">
        <f t="shared" ref="E184:G184" si="38" xml:space="preserve">  E$13</f>
        <v>Costs impact</v>
      </c>
      <c r="F184" s="89">
        <f t="shared" si="38"/>
        <v>17.012133386995362</v>
      </c>
      <c r="G184" s="89" t="str">
        <f t="shared" si="38"/>
        <v>£ / customer</v>
      </c>
      <c r="M184" s="89"/>
    </row>
    <row r="185" spans="2:13" outlineLevel="1" x14ac:dyDescent="0.2">
      <c r="E185" s="70" t="s">
        <v>192</v>
      </c>
      <c r="F185" s="89">
        <f xml:space="preserve">  $F183 * $F184</f>
        <v>11.529489992518124</v>
      </c>
      <c r="G185" s="70" t="s">
        <v>50</v>
      </c>
      <c r="M185" s="89"/>
    </row>
    <row r="186" spans="2:13" outlineLevel="1" x14ac:dyDescent="0.2"/>
    <row r="187" spans="2:13" outlineLevel="1" x14ac:dyDescent="0.2"/>
    <row r="188" spans="2:13" outlineLevel="1" x14ac:dyDescent="0.2">
      <c r="B188" s="69" t="s">
        <v>193</v>
      </c>
    </row>
    <row r="189" spans="2:13" outlineLevel="1" x14ac:dyDescent="0.2">
      <c r="E189" s="91" t="str">
        <f t="shared" ref="E189:G189" si="39" xml:space="preserve">  E$135</f>
        <v>Environmental proportion</v>
      </c>
      <c r="F189" s="91">
        <f t="shared" si="39"/>
        <v>6.4300205445975575E-2</v>
      </c>
      <c r="G189" s="91" t="str">
        <f t="shared" si="39"/>
        <v>factor</v>
      </c>
      <c r="M189" s="91"/>
    </row>
    <row r="190" spans="2:13" outlineLevel="1" x14ac:dyDescent="0.2">
      <c r="E190" s="89" t="str">
        <f t="shared" ref="E190:G190" si="40" xml:space="preserve">  E$13</f>
        <v>Costs impact</v>
      </c>
      <c r="F190" s="89">
        <f t="shared" si="40"/>
        <v>17.012133386995362</v>
      </c>
      <c r="G190" s="89" t="str">
        <f t="shared" si="40"/>
        <v>£ / customer</v>
      </c>
      <c r="M190" s="89"/>
    </row>
    <row r="191" spans="2:13" outlineLevel="1" x14ac:dyDescent="0.2">
      <c r="E191" s="70" t="s">
        <v>193</v>
      </c>
      <c r="F191" s="89">
        <f xml:space="preserve">  $F189 * $F190</f>
        <v>1.0938836718581422</v>
      </c>
      <c r="G191" s="70" t="s">
        <v>50</v>
      </c>
      <c r="M191" s="89"/>
    </row>
    <row r="192" spans="2:13" outlineLevel="1" x14ac:dyDescent="0.2"/>
    <row r="193" spans="2:13" outlineLevel="1" x14ac:dyDescent="0.2"/>
    <row r="194" spans="2:13" outlineLevel="1" x14ac:dyDescent="0.2">
      <c r="B194" s="69" t="s">
        <v>194</v>
      </c>
    </row>
    <row r="195" spans="2:13" outlineLevel="1" x14ac:dyDescent="0.2">
      <c r="E195" s="91" t="str">
        <f t="shared" ref="E195:G195" si="41" xml:space="preserve">  E$141</f>
        <v>Other environmental proportion</v>
      </c>
      <c r="F195" s="91">
        <f t="shared" si="41"/>
        <v>0</v>
      </c>
      <c r="G195" s="91" t="str">
        <f t="shared" si="41"/>
        <v>factor</v>
      </c>
      <c r="M195" s="91"/>
    </row>
    <row r="196" spans="2:13" outlineLevel="1" x14ac:dyDescent="0.2">
      <c r="E196" s="89" t="str">
        <f t="shared" ref="E196:G196" si="42" xml:space="preserve">  E$13</f>
        <v>Costs impact</v>
      </c>
      <c r="F196" s="89">
        <f t="shared" si="42"/>
        <v>17.012133386995362</v>
      </c>
      <c r="G196" s="89" t="str">
        <f t="shared" si="42"/>
        <v>£ / customer</v>
      </c>
      <c r="M196" s="89"/>
    </row>
    <row r="197" spans="2:13" outlineLevel="1" x14ac:dyDescent="0.2">
      <c r="E197" s="70" t="s">
        <v>194</v>
      </c>
      <c r="F197" s="89">
        <f xml:space="preserve">  $F195 * $F196</f>
        <v>0</v>
      </c>
      <c r="G197" s="70" t="s">
        <v>50</v>
      </c>
      <c r="M197" s="89"/>
    </row>
    <row r="198" spans="2:13" outlineLevel="1" x14ac:dyDescent="0.2"/>
    <row r="199" spans="2:13" outlineLevel="1" x14ac:dyDescent="0.2"/>
    <row r="200" spans="2:13" outlineLevel="1" x14ac:dyDescent="0.2">
      <c r="B200" s="69" t="s">
        <v>195</v>
      </c>
    </row>
    <row r="201" spans="2:13" outlineLevel="1" x14ac:dyDescent="0.2">
      <c r="E201" s="91" t="str">
        <f t="shared" ref="E201:G201" si="43" xml:space="preserve">  E$147</f>
        <v>Other enhancement costs proportion</v>
      </c>
      <c r="F201" s="91">
        <f t="shared" si="43"/>
        <v>-3.90850844919053E-2</v>
      </c>
      <c r="G201" s="91" t="str">
        <f t="shared" si="43"/>
        <v>factor</v>
      </c>
      <c r="M201" s="91"/>
    </row>
    <row r="202" spans="2:13" outlineLevel="1" x14ac:dyDescent="0.2">
      <c r="E202" s="89" t="str">
        <f t="shared" ref="E202:G202" si="44" xml:space="preserve">  E$13</f>
        <v>Costs impact</v>
      </c>
      <c r="F202" s="89">
        <f t="shared" si="44"/>
        <v>17.012133386995362</v>
      </c>
      <c r="G202" s="89" t="str">
        <f t="shared" si="44"/>
        <v>£ / customer</v>
      </c>
      <c r="M202" s="89"/>
    </row>
    <row r="203" spans="2:13" outlineLevel="1" x14ac:dyDescent="0.2">
      <c r="E203" s="70" t="s">
        <v>195</v>
      </c>
      <c r="F203" s="89">
        <f xml:space="preserve">  $F201 * $F202</f>
        <v>-0.66492067081827688</v>
      </c>
      <c r="G203" s="70" t="s">
        <v>50</v>
      </c>
      <c r="M203" s="89"/>
    </row>
    <row r="204" spans="2:13" outlineLevel="1" x14ac:dyDescent="0.2"/>
    <row r="207" spans="2:13" x14ac:dyDescent="0.2">
      <c r="B207" s="70" t="s">
        <v>98</v>
      </c>
    </row>
  </sheetData>
  <conditionalFormatting sqref="F2">
    <cfRule type="cellIs" dxfId="19" priority="3" stopIfTrue="1" operator="equal">
      <formula>""</formula>
    </cfRule>
  </conditionalFormatting>
  <conditionalFormatting sqref="F2:F3">
    <cfRule type="cellIs" dxfId="18" priority="1" stopIfTrue="1" operator="notEqual">
      <formula>0</formula>
    </cfRule>
  </conditionalFormatting>
  <conditionalFormatting sqref="J3:S3">
    <cfRule type="cellIs" dxfId="17" priority="9" operator="equal">
      <formula>"PPA ext."</formula>
    </cfRule>
    <cfRule type="cellIs" dxfId="16" priority="10" operator="equal">
      <formula>"Delay"</formula>
    </cfRule>
    <cfRule type="cellIs" dxfId="15" priority="11" operator="equal">
      <formula>"Fin Close"</formula>
    </cfRule>
    <cfRule type="cellIs" dxfId="14" priority="12" stopIfTrue="1" operator="equal">
      <formula>"Construction"</formula>
    </cfRule>
    <cfRule type="cellIs" dxfId="13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A6" sqref="A6"/>
    </sheetView>
  </sheetViews>
  <sheetFormatPr defaultColWidth="0" defaultRowHeight="13" x14ac:dyDescent="0.2"/>
  <cols>
    <col min="1" max="4" width="1.44140625" style="70" customWidth="1"/>
    <col min="5" max="5" width="44" style="70" bestFit="1" customWidth="1"/>
    <col min="6" max="6" width="18.6640625" style="70" bestFit="1" customWidth="1"/>
    <col min="7" max="7" width="14.7773437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44" customFormat="1" ht="26" x14ac:dyDescent="0.2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2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2">
      <c r="A6" s="32"/>
      <c r="B6" s="32"/>
      <c r="C6" s="53"/>
      <c r="F6" s="32"/>
      <c r="G6" s="32"/>
      <c r="H6" s="32"/>
    </row>
    <row r="8" spans="1:19" x14ac:dyDescent="0.2">
      <c r="C8" s="85" t="s">
        <v>27</v>
      </c>
    </row>
    <row r="9" spans="1:19" x14ac:dyDescent="0.2">
      <c r="E9" s="86" t="str">
        <f xml:space="preserve"> Totex!E$93</f>
        <v>Average totex increase/(decrease)</v>
      </c>
      <c r="F9" s="86">
        <f xml:space="preserve"> Totex!$F$93</f>
        <v>22.877821034166924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">
      <c r="E10" s="86" t="str">
        <f xml:space="preserve"> Totex!E$112</f>
        <v>Final Impact of PAYG rate change</v>
      </c>
      <c r="F10" s="86">
        <f xml:space="preserve"> Totex!$F$112</f>
        <v>-7.1735577571742493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">
      <c r="C11" s="85" t="s">
        <v>35</v>
      </c>
    </row>
    <row r="12" spans="1:19" x14ac:dyDescent="0.2">
      <c r="E12" s="86" t="str">
        <f xml:space="preserve"> RCV!E$73</f>
        <v>RCV</v>
      </c>
      <c r="F12" s="86">
        <f xml:space="preserve"> RCV!$F$73</f>
        <v>12.629340622591624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E13" s="86" t="str">
        <f xml:space="preserve"> RCV!E$80</f>
        <v>Run-off rates</v>
      </c>
      <c r="F13" s="86">
        <f xml:space="preserve"> RCV!$F$80</f>
        <v>-11.321470512588935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C14" s="85" t="s">
        <v>196</v>
      </c>
    </row>
    <row r="15" spans="1:19" x14ac:dyDescent="0.2">
      <c r="E15" s="86" t="str">
        <f xml:space="preserve"> Wholesale!E$66</f>
        <v>WACC</v>
      </c>
      <c r="F15" s="86">
        <f xml:space="preserve"> Wholesale!$F$66</f>
        <v>11.878053844813667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C16" s="85" t="s">
        <v>197</v>
      </c>
    </row>
    <row r="17" spans="3:19" x14ac:dyDescent="0.2">
      <c r="E17" s="86" t="str">
        <f xml:space="preserve"> 'Wholesale reconciliation'!E$25</f>
        <v>Wholesale reconciliation items</v>
      </c>
      <c r="F17" s="86">
        <f xml:space="preserve"> 'Wholesale reconciliation'!$F$25</f>
        <v>0.98115836506605636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2">
      <c r="E18" s="86" t="str">
        <f xml:space="preserve"> 'Other wholesale items'!E$81</f>
        <v>Other wholesale items</v>
      </c>
      <c r="F18" s="86">
        <f xml:space="preserve"> 'Other wholesale items'!$F$81</f>
        <v>7.5124055492103992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2">
      <c r="C19" s="85" t="s">
        <v>198</v>
      </c>
    </row>
    <row r="20" spans="3:19" x14ac:dyDescent="0.2">
      <c r="E20" s="86" t="str">
        <f xml:space="preserve"> 'Cost to serve'!E$37</f>
        <v>Retail cost to serve</v>
      </c>
      <c r="F20" s="86">
        <f xml:space="preserve"> 'Cost to serve'!$F$37</f>
        <v>1.3689355645483019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2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-13.517132667626846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F2:F3">
    <cfRule type="cellIs" dxfId="12" priority="1" stopIfTrue="1" operator="notEqual">
      <formula>0</formula>
    </cfRule>
  </conditionalFormatting>
  <conditionalFormatting sqref="J3:S3">
    <cfRule type="cellIs" dxfId="11" priority="3" operator="equal">
      <formula>"PPA ext."</formula>
    </cfRule>
    <cfRule type="cellIs" dxfId="10" priority="4" operator="equal">
      <formula>"Delay"</formula>
    </cfRule>
    <cfRule type="cellIs" dxfId="9" priority="5" operator="equal">
      <formula>"Fin Close"</formula>
    </cfRule>
    <cfRule type="cellIs" dxfId="8" priority="6" stopIfTrue="1" operator="equal">
      <formula>"Construction"</formula>
    </cfRule>
    <cfRule type="cellIs" dxfId="7" priority="7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8C561"/>
    <outlinePr summaryBelow="0" summaryRight="0"/>
    <pageSetUpPr fitToPage="1"/>
  </sheetPr>
  <dimension ref="A1:O41"/>
  <sheetViews>
    <sheetView showGridLines="0" workbookViewId="0">
      <selection activeCell="F16" sqref="F16"/>
    </sheetView>
  </sheetViews>
  <sheetFormatPr defaultColWidth="0" defaultRowHeight="13" x14ac:dyDescent="0.2"/>
  <cols>
    <col min="1" max="2" width="1.44140625" style="7" customWidth="1"/>
    <col min="3" max="3" width="1.44140625" style="24" customWidth="1"/>
    <col min="4" max="4" width="1.44140625" style="45" customWidth="1"/>
    <col min="5" max="5" width="71.44140625" style="9" customWidth="1"/>
    <col min="6" max="6" width="16.33203125" style="9" customWidth="1"/>
    <col min="7" max="8" width="15.109375" style="9" customWidth="1"/>
    <col min="9" max="9" width="3.44140625" style="9" customWidth="1"/>
    <col min="10" max="15" width="15.109375" style="9" customWidth="1"/>
    <col min="16" max="16" width="15.109375" style="9" hidden="1" customWidth="1"/>
    <col min="17" max="16384" width="15.109375" style="9" hidden="1"/>
  </cols>
  <sheetData>
    <row r="1" spans="1:15" s="20" customFormat="1" ht="26" x14ac:dyDescent="0.2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2">
      <c r="D6" s="9"/>
      <c r="F6" s="7"/>
      <c r="G6" s="7"/>
      <c r="H6" s="7"/>
    </row>
    <row r="8" spans="1:15" x14ac:dyDescent="0.2">
      <c r="A8" s="7" t="s">
        <v>199</v>
      </c>
    </row>
    <row r="9" spans="1:15" x14ac:dyDescent="0.2">
      <c r="B9" s="7" t="s">
        <v>200</v>
      </c>
    </row>
    <row r="10" spans="1:15" x14ac:dyDescent="0.2">
      <c r="E10" s="9" t="str">
        <f xml:space="preserve"> InpS!E38</f>
        <v>Combined average bills PR19 (2022-23 prices)</v>
      </c>
      <c r="F10" s="51">
        <f xml:space="preserve"> InpS!F38</f>
        <v>191.71960651497787</v>
      </c>
    </row>
    <row r="11" spans="1:15" x14ac:dyDescent="0.2">
      <c r="E11" s="9" t="str">
        <f xml:space="preserve"> Totex!E93</f>
        <v>Average totex increase/(decrease)</v>
      </c>
      <c r="F11" s="51">
        <f xml:space="preserve"> Totex!F93</f>
        <v>22.877821034166924</v>
      </c>
    </row>
    <row r="12" spans="1:15" x14ac:dyDescent="0.2">
      <c r="E12" s="55" t="str">
        <f xml:space="preserve"> Totex!E112</f>
        <v>Final Impact of PAYG rate change</v>
      </c>
      <c r="F12" s="51">
        <f xml:space="preserve"> Totex!F112</f>
        <v>-7.1735577571742493</v>
      </c>
    </row>
    <row r="13" spans="1:15" x14ac:dyDescent="0.2">
      <c r="E13" s="9" t="str">
        <f xml:space="preserve"> RCV!E73</f>
        <v>RCV</v>
      </c>
      <c r="F13" s="51">
        <f xml:space="preserve"> RCV!F73</f>
        <v>12.629340622591624</v>
      </c>
    </row>
    <row r="14" spans="1:15" x14ac:dyDescent="0.2">
      <c r="E14" s="9" t="str">
        <f xml:space="preserve"> RCV!E80</f>
        <v>Run-off rates</v>
      </c>
      <c r="F14" s="51">
        <f xml:space="preserve"> RCV!F80</f>
        <v>-11.321470512588935</v>
      </c>
    </row>
    <row r="15" spans="1:15" x14ac:dyDescent="0.2">
      <c r="E15" s="9" t="str">
        <f xml:space="preserve"> Wholesale!E66</f>
        <v>WACC</v>
      </c>
      <c r="F15" s="51">
        <f xml:space="preserve"> Wholesale!F66</f>
        <v>11.878053844813667</v>
      </c>
    </row>
    <row r="16" spans="1:15" x14ac:dyDescent="0.2">
      <c r="E16" s="9" t="str">
        <f xml:space="preserve"> 'Wholesale reconciliation'!E25</f>
        <v>Wholesale reconciliation items</v>
      </c>
      <c r="F16" s="51">
        <f xml:space="preserve"> 'Wholesale reconciliation'!F25</f>
        <v>0.98115836506605636</v>
      </c>
    </row>
    <row r="17" spans="1:6" x14ac:dyDescent="0.2">
      <c r="E17" s="9" t="str">
        <f xml:space="preserve"> 'Other wholesale items'!E81</f>
        <v>Other wholesale items</v>
      </c>
      <c r="F17" s="51">
        <f xml:space="preserve"> 'Other wholesale items'!F81</f>
        <v>7.5124055492103992</v>
      </c>
    </row>
    <row r="18" spans="1:6" x14ac:dyDescent="0.2">
      <c r="E18" s="9" t="str">
        <f xml:space="preserve"> 'Cost to serve'!E37</f>
        <v>Retail cost to serve</v>
      </c>
      <c r="F18" s="51">
        <f xml:space="preserve"> 'Cost to serve'!F37</f>
        <v>1.3689355645483019</v>
      </c>
    </row>
    <row r="19" spans="1:6" x14ac:dyDescent="0.2">
      <c r="E19" s="9" t="str">
        <f xml:space="preserve"> 'Customer number impacts'!E25</f>
        <v>Customer numbers &amp; retail apportionment</v>
      </c>
      <c r="F19" s="51">
        <f xml:space="preserve"> 'Customer number impacts'!F25</f>
        <v>-13.517132667626846</v>
      </c>
    </row>
    <row r="20" spans="1:6" x14ac:dyDescent="0.2">
      <c r="E20" s="9" t="str">
        <f xml:space="preserve"> InpS!E39</f>
        <v>Combined average bills PR24</v>
      </c>
      <c r="F20" s="51">
        <f xml:space="preserve"> InpS!F39</f>
        <v>216.95516055798481</v>
      </c>
    </row>
    <row r="24" spans="1:6" x14ac:dyDescent="0.2">
      <c r="A24" s="7" t="s">
        <v>201</v>
      </c>
    </row>
    <row r="25" spans="1:6" x14ac:dyDescent="0.2">
      <c r="B25" s="7" t="s">
        <v>200</v>
      </c>
    </row>
    <row r="26" spans="1:6" x14ac:dyDescent="0.2">
      <c r="E26" s="50" t="str">
        <f xml:space="preserve"> InpS!E38</f>
        <v>Combined average bills PR19 (2022-23 prices)</v>
      </c>
      <c r="F26" s="51">
        <f xml:space="preserve"> InpS!F38</f>
        <v>191.71960651497787</v>
      </c>
    </row>
    <row r="27" spans="1:6" x14ac:dyDescent="0.2">
      <c r="E27" s="50" t="str">
        <f xml:space="preserve"> 'Breakdown by costs'!E155</f>
        <v>Base expenditure</v>
      </c>
      <c r="F27" s="51">
        <f xml:space="preserve"> 'Breakdown by costs'!F155</f>
        <v>4.066754706427445</v>
      </c>
    </row>
    <row r="28" spans="1:6" x14ac:dyDescent="0.2">
      <c r="E28" s="50" t="str">
        <f xml:space="preserve"> 'Breakdown by costs'!E161</f>
        <v>Storm overflows</v>
      </c>
      <c r="F28" s="51">
        <f xml:space="preserve"> 'Breakdown by costs'!F161</f>
        <v>0</v>
      </c>
    </row>
    <row r="29" spans="1:6" x14ac:dyDescent="0.2">
      <c r="E29" s="50" t="str">
        <f xml:space="preserve"> 'Breakdown by costs'!E167</f>
        <v>Nutrient removal</v>
      </c>
      <c r="F29" s="51">
        <f xml:space="preserve"> 'Breakdown by costs'!F167</f>
        <v>0</v>
      </c>
    </row>
    <row r="30" spans="1:6" x14ac:dyDescent="0.2">
      <c r="E30" s="50" t="str">
        <f xml:space="preserve"> 'Breakdown by costs'!E173</f>
        <v>Resilience</v>
      </c>
      <c r="F30" s="51">
        <f xml:space="preserve"> 'Breakdown by costs'!F173</f>
        <v>0.7834201164903325</v>
      </c>
    </row>
    <row r="31" spans="1:6" x14ac:dyDescent="0.2">
      <c r="E31" s="50" t="str">
        <f xml:space="preserve"> 'Breakdown by costs'!E179</f>
        <v>Net zero</v>
      </c>
      <c r="F31" s="51">
        <f xml:space="preserve"> 'Breakdown by costs'!F179</f>
        <v>0.20350557051959406</v>
      </c>
    </row>
    <row r="32" spans="1:6" x14ac:dyDescent="0.2">
      <c r="E32" s="50" t="str">
        <f xml:space="preserve"> 'Breakdown by costs'!E185</f>
        <v>WRMP</v>
      </c>
      <c r="F32" s="51">
        <f xml:space="preserve"> 'Breakdown by costs'!F185</f>
        <v>11.529489992518124</v>
      </c>
    </row>
    <row r="33" spans="5:6" x14ac:dyDescent="0.2">
      <c r="E33" s="50" t="str">
        <f xml:space="preserve"> 'Breakdown by costs'!E191</f>
        <v>Environmental</v>
      </c>
      <c r="F33" s="51">
        <f xml:space="preserve"> 'Breakdown by costs'!F191</f>
        <v>1.0938836718581422</v>
      </c>
    </row>
    <row r="34" spans="5:6" x14ac:dyDescent="0.2">
      <c r="E34" s="50" t="str">
        <f xml:space="preserve"> 'Breakdown by costs'!E197</f>
        <v>Other environmental</v>
      </c>
      <c r="F34" s="51">
        <f xml:space="preserve"> 'Breakdown by costs'!F197</f>
        <v>0</v>
      </c>
    </row>
    <row r="35" spans="5:6" x14ac:dyDescent="0.2">
      <c r="E35" s="50" t="str">
        <f xml:space="preserve"> 'Breakdown by costs'!E203</f>
        <v>Other enhancement costs</v>
      </c>
      <c r="F35" s="51">
        <f xml:space="preserve"> 'Breakdown by costs'!F203</f>
        <v>-0.66492067081827688</v>
      </c>
    </row>
    <row r="36" spans="5:6" x14ac:dyDescent="0.2">
      <c r="E36" s="50" t="str">
        <f xml:space="preserve"> Wholesale!E66</f>
        <v>WACC</v>
      </c>
      <c r="F36" s="51">
        <f xml:space="preserve"> Wholesale!F66</f>
        <v>11.878053844813667</v>
      </c>
    </row>
    <row r="37" spans="5:6" x14ac:dyDescent="0.2">
      <c r="E37" s="50" t="str">
        <f xml:space="preserve"> 'Wholesale reconciliation'!E25</f>
        <v>Wholesale reconciliation items</v>
      </c>
      <c r="F37" s="51">
        <f xml:space="preserve"> 'Wholesale reconciliation'!F25</f>
        <v>0.98115836506605636</v>
      </c>
    </row>
    <row r="38" spans="5:6" x14ac:dyDescent="0.2">
      <c r="E38" s="50" t="str">
        <f xml:space="preserve"> 'Other wholesale items'!E81</f>
        <v>Other wholesale items</v>
      </c>
      <c r="F38" s="51">
        <f xml:space="preserve"> 'Other wholesale items'!F81</f>
        <v>7.5124055492103992</v>
      </c>
    </row>
    <row r="39" spans="5:6" x14ac:dyDescent="0.2">
      <c r="E39" s="50" t="str">
        <f xml:space="preserve"> 'Cost to serve'!E37</f>
        <v>Retail cost to serve</v>
      </c>
      <c r="F39" s="51">
        <f xml:space="preserve"> 'Cost to serve'!F37</f>
        <v>1.3689355645483019</v>
      </c>
    </row>
    <row r="40" spans="5:6" x14ac:dyDescent="0.2">
      <c r="E40" s="50" t="str">
        <f xml:space="preserve"> 'Customer number impacts'!E25</f>
        <v>Customer numbers &amp; retail apportionment</v>
      </c>
      <c r="F40" s="51">
        <f xml:space="preserve"> 'Customer number impacts'!F25</f>
        <v>-13.517132667626846</v>
      </c>
    </row>
    <row r="41" spans="5:6" x14ac:dyDescent="0.2">
      <c r="E41" s="50" t="str">
        <f xml:space="preserve"> InpS!E39</f>
        <v>Combined average bills PR24</v>
      </c>
      <c r="F41" s="51">
        <f xml:space="preserve"> InpS!F39</f>
        <v>216.95516055798481</v>
      </c>
    </row>
  </sheetData>
  <conditionalFormatting sqref="F2">
    <cfRule type="cellIs" dxfId="6" priority="3" stopIfTrue="1" operator="equal">
      <formula>""</formula>
    </cfRule>
  </conditionalFormatting>
  <conditionalFormatting sqref="F2:F3">
    <cfRule type="cellIs" dxfId="5" priority="1" stopIfTrue="1" operator="notEqual">
      <formula>0</formula>
    </cfRule>
  </conditionalFormatting>
  <conditionalFormatting sqref="J3:O3">
    <cfRule type="cellIs" dxfId="4" priority="4" operator="equal">
      <formula>"PPA ext."</formula>
    </cfRule>
    <cfRule type="cellIs" dxfId="3" priority="5" operator="equal">
      <formula>"Delay"</formula>
    </cfRule>
    <cfRule type="cellIs" dxfId="2" priority="6" operator="equal">
      <formula>"Fin Close"</formula>
    </cfRule>
    <cfRule type="cellIs" dxfId="1" priority="7" stopIfTrue="1" operator="equal">
      <formula>"Construction"</formula>
    </cfRule>
    <cfRule type="cellIs" dxfId="0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8C561"/>
    <pageSetUpPr fitToPage="1"/>
  </sheetPr>
  <dimension ref="A1:AP71"/>
  <sheetViews>
    <sheetView showGridLines="0" zoomScale="70" zoomScaleNormal="70" workbookViewId="0">
      <selection activeCell="A55" sqref="A55"/>
    </sheetView>
  </sheetViews>
  <sheetFormatPr defaultColWidth="0" defaultRowHeight="12.75" customHeight="1" zeroHeight="1" x14ac:dyDescent="0.2"/>
  <cols>
    <col min="1" max="1" width="8.6640625" style="31" customWidth="1"/>
    <col min="2" max="2" width="52.7773437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2" width="8.6640625" style="31" customWidth="1"/>
    <col min="43" max="43" width="8.6640625" style="31" hidden="1" customWidth="1"/>
    <col min="44" max="16384" width="8.6640625" style="31" hidden="1"/>
  </cols>
  <sheetData>
    <row r="1" spans="1:42" s="44" customFormat="1" ht="26" x14ac:dyDescent="0.2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26" x14ac:dyDescent="0.2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25" customHeight="1" x14ac:dyDescent="0.2">
      <c r="A4" s="83"/>
      <c r="B4" s="41" t="s">
        <v>205</v>
      </c>
      <c r="C4" s="29">
        <f>OBXValues!F10</f>
        <v>191.71960651497787</v>
      </c>
      <c r="D4" s="29">
        <f>OBXValues!F10</f>
        <v>191.71960651497787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25" customHeight="1" x14ac:dyDescent="0.2">
      <c r="A5" s="83"/>
      <c r="B5" s="41" t="s">
        <v>118</v>
      </c>
      <c r="C5" s="29">
        <f>OBXValues!F11</f>
        <v>22.877821034166924</v>
      </c>
      <c r="D5" s="29"/>
      <c r="E5" s="29">
        <f xml:space="preserve"> MAX(0,MIN(SUM(C$4:C4),SUM(C$4:C5)))+MIN(0,MAX(SUM(C$4:C4),SUM(C$4:C5)))</f>
        <v>191.71960651497787</v>
      </c>
      <c r="F5" s="28">
        <f xml:space="preserve"> MAX(0,MIN(SUM(C$4:C5),C5))</f>
        <v>22.877821034166924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25" customHeight="1" x14ac:dyDescent="0.2">
      <c r="A6" s="83"/>
      <c r="B6" s="41" t="s">
        <v>206</v>
      </c>
      <c r="C6" s="29">
        <f>OBXValues!F12</f>
        <v>-7.1735577571742493</v>
      </c>
      <c r="D6" s="29"/>
      <c r="E6" s="29">
        <f xml:space="preserve"> MAX(0,MIN(SUM(C$4:C5),SUM(C$4:C6)))+MIN(0,MAX(SUM(C$4:C5),SUM(C$4:C6)))</f>
        <v>207.42386979197053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7.1735577571742493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25" customHeight="1" x14ac:dyDescent="0.2">
      <c r="A7" s="83"/>
      <c r="B7" s="41" t="s">
        <v>35</v>
      </c>
      <c r="C7" s="29">
        <f>OBXValues!F13</f>
        <v>12.629340622591624</v>
      </c>
      <c r="D7" s="29"/>
      <c r="E7" s="29">
        <f xml:space="preserve"> MAX(0,MIN(SUM(C$4:C6),SUM(C$4:C7)))+MIN(0,MAX(SUM(C$4:C6),SUM(C$4:C7)))</f>
        <v>207.42386979197053</v>
      </c>
      <c r="F7" s="28">
        <f xml:space="preserve"> MAX(0,MIN(SUM(C$4:C7),C7))</f>
        <v>12.629340622591624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25" customHeight="1" x14ac:dyDescent="0.2">
      <c r="A8" s="83"/>
      <c r="B8" s="41" t="s">
        <v>132</v>
      </c>
      <c r="C8" s="29">
        <f>OBXValues!F14</f>
        <v>-11.321470512588935</v>
      </c>
      <c r="D8" s="29"/>
      <c r="E8" s="29">
        <f xml:space="preserve"> MAX(0,MIN(SUM(C$4:C7),SUM(C$4:C8)))+MIN(0,MAX(SUM(C$4:C7),SUM(C$4:C8)))</f>
        <v>208.73173990197321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11.321470512588935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25" customHeight="1" x14ac:dyDescent="0.2">
      <c r="A9" s="83"/>
      <c r="B9" s="41" t="s">
        <v>139</v>
      </c>
      <c r="C9" s="29">
        <f>OBXValues!F15</f>
        <v>11.878053844813667</v>
      </c>
      <c r="D9" s="29"/>
      <c r="E9" s="29">
        <f xml:space="preserve"> MAX(0,MIN(SUM(C$4:C8),SUM(C$4:C9)))+MIN(0,MAX(SUM(C$4:C8),SUM(C$4:C9)))</f>
        <v>208.73173990197321</v>
      </c>
      <c r="F9" s="28">
        <f xml:space="preserve"> MAX(0,MIN(SUM(C$4:C9),C9))</f>
        <v>11.878053844813667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25" customHeight="1" x14ac:dyDescent="0.2">
      <c r="A10" s="83"/>
      <c r="B10" s="41" t="s">
        <v>144</v>
      </c>
      <c r="C10" s="29">
        <f>OBXValues!F16</f>
        <v>0.98115836506605636</v>
      </c>
      <c r="D10" s="29"/>
      <c r="E10" s="29">
        <f xml:space="preserve"> MAX(0,MIN(SUM(C$4:C9),SUM(C$4:C10)))+MIN(0,MAX(SUM(C$4:C9),SUM(C$4:C10)))</f>
        <v>220.60979374678689</v>
      </c>
      <c r="F10" s="28">
        <f xml:space="preserve"> MAX(0,MIN(SUM(C$4:C10),C10))</f>
        <v>0.98115836506605636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25" customHeight="1" x14ac:dyDescent="0.2">
      <c r="A11" s="83"/>
      <c r="B11" s="41" t="s">
        <v>55</v>
      </c>
      <c r="C11" s="29">
        <f>OBXValues!F17</f>
        <v>7.5124055492103992</v>
      </c>
      <c r="D11" s="29"/>
      <c r="E11" s="29">
        <f xml:space="preserve"> MAX(0,MIN(SUM(C$4:C10),SUM(C$4:C11)))+MIN(0,MAX(SUM(C$4:C10),SUM(C$4:C11)))</f>
        <v>221.59095211185294</v>
      </c>
      <c r="F11" s="28">
        <f xml:space="preserve"> MAX(0,MIN(SUM(C$4:C11),C11))</f>
        <v>7.5124055492103992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25" customHeight="1" x14ac:dyDescent="0.2">
      <c r="A12" s="83"/>
      <c r="B12" s="41" t="s">
        <v>159</v>
      </c>
      <c r="C12" s="29">
        <f>OBXValues!F18</f>
        <v>1.3689355645483019</v>
      </c>
      <c r="D12" s="29"/>
      <c r="E12" s="29">
        <f xml:space="preserve"> MAX(0,MIN(SUM(C$4:C11),SUM(C$4:C12)))+MIN(0,MAX(SUM(C$4:C11),SUM(C$4:C12)))</f>
        <v>229.10335766106334</v>
      </c>
      <c r="F12" s="28">
        <f xml:space="preserve"> MAX(0,MIN(SUM(C$4:C12),C12))</f>
        <v>1.3689355645483019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25" customHeight="1" x14ac:dyDescent="0.2">
      <c r="A13" s="83"/>
      <c r="B13" s="41" t="s">
        <v>163</v>
      </c>
      <c r="C13" s="29">
        <f>OBXValues!F19</f>
        <v>-13.517132667626846</v>
      </c>
      <c r="D13" s="29"/>
      <c r="E13" s="29">
        <f xml:space="preserve"> MAX(0,MIN(SUM(C$4:C12),SUM(C$4:C13)))+MIN(0,MAX(SUM(C$4:C12),SUM(C$4:C13)))</f>
        <v>216.95516055798481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13.517132667626846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25" customHeight="1" x14ac:dyDescent="0.2">
      <c r="A14" s="83"/>
      <c r="B14" s="41" t="s">
        <v>51</v>
      </c>
      <c r="C14" s="29"/>
      <c r="D14" s="29">
        <f>SUM(C4:C13)</f>
        <v>216.95516055798481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25" customHeight="1" x14ac:dyDescent="0.2">
      <c r="A16" s="5"/>
      <c r="B16" s="31" t="s">
        <v>207</v>
      </c>
      <c r="C16" s="5">
        <f>OBXValues!F20</f>
        <v>216.95516055798481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25" customHeight="1" x14ac:dyDescent="0.2">
      <c r="A17" s="5"/>
      <c r="B17" s="5" t="s">
        <v>208</v>
      </c>
      <c r="C17" s="5" t="b">
        <f xml:space="preserve"> IF( C16 = D14, TRUE(), FALSE())</f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2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0.9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75" customHeight="1" x14ac:dyDescent="0.2"/>
    <row r="68" spans="1:42" ht="9.75" customHeight="1" x14ac:dyDescent="0.2"/>
    <row r="69" spans="1:42" ht="9.75" customHeight="1" x14ac:dyDescent="0.2"/>
    <row r="70" spans="1:42" ht="9.75" customHeight="1" x14ac:dyDescent="0.2"/>
    <row r="71" spans="1:42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8C561"/>
    <pageSetUpPr fitToPage="1"/>
  </sheetPr>
  <dimension ref="A1:AQ71"/>
  <sheetViews>
    <sheetView showGridLines="0" zoomScale="70" zoomScaleNormal="70" workbookViewId="0">
      <selection activeCell="A28" sqref="A28"/>
    </sheetView>
  </sheetViews>
  <sheetFormatPr defaultColWidth="0" defaultRowHeight="12.75" customHeight="1" zeroHeight="1" x14ac:dyDescent="0.2"/>
  <cols>
    <col min="1" max="1" width="8.6640625" style="31" customWidth="1"/>
    <col min="2" max="2" width="52.7773437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3" width="8.6640625" style="31" customWidth="1"/>
    <col min="44" max="44" width="8.6640625" style="31" hidden="1" customWidth="1"/>
    <col min="45" max="16384" width="8.6640625" style="31" hidden="1"/>
  </cols>
  <sheetData>
    <row r="1" spans="1:43" s="44" customFormat="1" ht="26" x14ac:dyDescent="0.2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6" x14ac:dyDescent="0.3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25" customHeight="1" x14ac:dyDescent="0.2">
      <c r="A4" s="5"/>
      <c r="B4" s="41" t="s">
        <v>205</v>
      </c>
      <c r="C4" s="29">
        <f>OBXValues!F26</f>
        <v>191.71960651497787</v>
      </c>
      <c r="D4" s="29">
        <f>OBXValues!F26</f>
        <v>191.71960651497787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25" customHeight="1" x14ac:dyDescent="0.2">
      <c r="A5" s="5"/>
      <c r="B5" s="41" t="s">
        <v>187</v>
      </c>
      <c r="C5" s="29">
        <f>OBXValues!F27</f>
        <v>4.066754706427445</v>
      </c>
      <c r="D5" s="29"/>
      <c r="E5" s="29">
        <f xml:space="preserve"> MAX(0,MIN(SUM(C$4:C4),SUM(C$4:C5)))+MIN(0,MAX(SUM(C$4:C4),SUM(C$4:C5)))</f>
        <v>191.71960651497787</v>
      </c>
      <c r="F5" s="28">
        <f xml:space="preserve"> MAX(0,MIN(SUM(C$4:C5),C5))</f>
        <v>4.066754706427445</v>
      </c>
      <c r="G5" s="28">
        <f t="shared" ref="G5:G17" si="0" xml:space="preserve"> -MAX(0,C5-F5)</f>
        <v>0</v>
      </c>
      <c r="H5" s="28">
        <f t="shared" ref="H5:H17" si="1" xml:space="preserve"> MAX(0,I5-C5)</f>
        <v>0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2">
      <c r="A6" s="5"/>
      <c r="B6" s="41" t="s">
        <v>188</v>
      </c>
      <c r="C6" s="29">
        <f>OBXValues!F28</f>
        <v>0</v>
      </c>
      <c r="D6" s="29"/>
      <c r="E6" s="29">
        <f xml:space="preserve"> MAX(0,MIN(SUM(C$4:C5),SUM(C$4:C6)))+MIN(0,MAX(SUM(C$4:C5),SUM(C$4:C6)))</f>
        <v>195.78636122140531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25" customHeight="1" x14ac:dyDescent="0.2">
      <c r="A7" s="5"/>
      <c r="B7" s="41" t="s">
        <v>189</v>
      </c>
      <c r="C7" s="29">
        <f>OBXValues!F29</f>
        <v>0</v>
      </c>
      <c r="D7" s="29"/>
      <c r="E7" s="29">
        <f xml:space="preserve"> MAX(0,MIN(SUM(C$4:C6),SUM(C$4:C7)))+MIN(0,MAX(SUM(C$4:C6),SUM(C$4:C7)))</f>
        <v>195.78636122140531</v>
      </c>
      <c r="F7" s="28">
        <f xml:space="preserve"> MAX(0,MIN(SUM(C$4:C7),C7))</f>
        <v>0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25" customHeight="1" x14ac:dyDescent="0.2">
      <c r="A8" s="5"/>
      <c r="B8" s="41" t="s">
        <v>190</v>
      </c>
      <c r="C8" s="29">
        <f>OBXValues!F30</f>
        <v>0.7834201164903325</v>
      </c>
      <c r="D8" s="29"/>
      <c r="E8" s="29">
        <f xml:space="preserve"> MAX(0,MIN(SUM(C$4:C7),SUM(C$4:C8)))+MIN(0,MAX(SUM(C$4:C7),SUM(C$4:C8)))</f>
        <v>195.78636122140531</v>
      </c>
      <c r="F8" s="28">
        <f xml:space="preserve"> MAX(0,MIN(SUM(C$4:C8),C8))</f>
        <v>0.7834201164903325</v>
      </c>
      <c r="G8" s="28">
        <f t="shared" si="0"/>
        <v>0</v>
      </c>
      <c r="H8" s="28">
        <f t="shared" si="1"/>
        <v>0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25" customHeight="1" x14ac:dyDescent="0.2">
      <c r="A9" s="5"/>
      <c r="B9" s="41" t="s">
        <v>209</v>
      </c>
      <c r="C9" s="29">
        <f>OBXValues!F31</f>
        <v>0.20350557051959406</v>
      </c>
      <c r="D9" s="29"/>
      <c r="E9" s="29">
        <f xml:space="preserve"> MAX(0,MIN(SUM(C$4:C8),SUM(C$4:C9)))+MIN(0,MAX(SUM(C$4:C8),SUM(C$4:C9)))</f>
        <v>196.56978133789565</v>
      </c>
      <c r="F9" s="28">
        <f xml:space="preserve"> MAX(0,MIN(SUM(C$4:C9),C9))</f>
        <v>0.20350557051959406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25" customHeight="1" x14ac:dyDescent="0.2">
      <c r="A10" s="5"/>
      <c r="B10" s="41" t="s">
        <v>192</v>
      </c>
      <c r="C10" s="29">
        <f>OBXValues!F32</f>
        <v>11.529489992518124</v>
      </c>
      <c r="D10" s="29"/>
      <c r="E10" s="29">
        <f xml:space="preserve"> MAX(0,MIN(SUM(C$4:C9),SUM(C$4:C10)))+MIN(0,MAX(SUM(C$4:C9),SUM(C$4:C10)))</f>
        <v>196.77328690841523</v>
      </c>
      <c r="F10" s="28">
        <f xml:space="preserve"> MAX(0,MIN(SUM(C$4:C10),C10))</f>
        <v>11.529489992518124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25" customHeight="1" x14ac:dyDescent="0.2">
      <c r="A11" s="5"/>
      <c r="B11" s="41" t="s">
        <v>193</v>
      </c>
      <c r="C11" s="29">
        <f>OBXValues!F33+OBXValues!F34</f>
        <v>1.0938836718581422</v>
      </c>
      <c r="D11" s="29"/>
      <c r="E11" s="29">
        <f xml:space="preserve"> MAX(0,MIN(SUM(C$4:C10),SUM(C$4:C11)))+MIN(0,MAX(SUM(C$4:C10),SUM(C$4:C11)))</f>
        <v>208.30277690093337</v>
      </c>
      <c r="F11" s="28">
        <f xml:space="preserve"> MAX(0,MIN(SUM(C$4:C11),C11))</f>
        <v>1.0938836718581422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25" customHeight="1" x14ac:dyDescent="0.2">
      <c r="A12" s="5"/>
      <c r="B12" s="41" t="s">
        <v>195</v>
      </c>
      <c r="C12" s="29">
        <f>OBXValues!F35</f>
        <v>-0.66492067081827688</v>
      </c>
      <c r="D12" s="29"/>
      <c r="E12" s="29">
        <f xml:space="preserve"> MAX(0,MIN(SUM(C$4:C11),SUM(C$4:C12)))+MIN(0,MAX(SUM(C$4:C11),SUM(C$4:C12)))</f>
        <v>208.73173990197324</v>
      </c>
      <c r="F12" s="28">
        <f xml:space="preserve"> MAX(0,MIN(SUM(C$4:C12),C12))</f>
        <v>0</v>
      </c>
      <c r="G12" s="28">
        <f t="shared" si="0"/>
        <v>0</v>
      </c>
      <c r="H12" s="28">
        <f t="shared" si="1"/>
        <v>0.66492067081827688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25" customHeight="1" x14ac:dyDescent="0.2">
      <c r="A13" s="5"/>
      <c r="B13" s="41" t="s">
        <v>139</v>
      </c>
      <c r="C13" s="29">
        <f>OBXValues!F36</f>
        <v>11.878053844813667</v>
      </c>
      <c r="D13" s="29"/>
      <c r="E13" s="29">
        <f xml:space="preserve"> MAX(0,MIN(SUM(C$4:C12),SUM(C$4:C13)))+MIN(0,MAX(SUM(C$4:C12),SUM(C$4:C13)))</f>
        <v>208.73173990197324</v>
      </c>
      <c r="F13" s="28">
        <f xml:space="preserve"> MAX(0,MIN(SUM(C$4:C13),C13))</f>
        <v>11.878053844813667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25" customHeight="1" x14ac:dyDescent="0.2">
      <c r="A14" s="5"/>
      <c r="B14" s="41" t="s">
        <v>144</v>
      </c>
      <c r="C14" s="29">
        <f>OBXValues!F37</f>
        <v>0.98115836506605636</v>
      </c>
      <c r="D14" s="29"/>
      <c r="E14" s="29">
        <f xml:space="preserve"> MAX(0,MIN(SUM(C$4:C13),SUM(C$4:C14)))+MIN(0,MAX(SUM(C$4:C13),SUM(C$4:C14)))</f>
        <v>220.60979374678692</v>
      </c>
      <c r="F14" s="28">
        <f xml:space="preserve"> MAX(0,MIN(SUM(C$4:C14),C14))</f>
        <v>0.98115836506605636</v>
      </c>
      <c r="G14" s="28">
        <f t="shared" si="0"/>
        <v>0</v>
      </c>
      <c r="H14" s="28">
        <f t="shared" si="1"/>
        <v>0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25" customHeight="1" x14ac:dyDescent="0.2">
      <c r="A15" s="5"/>
      <c r="B15" s="41" t="s">
        <v>55</v>
      </c>
      <c r="C15" s="29">
        <f>OBXValues!F38</f>
        <v>7.5124055492103992</v>
      </c>
      <c r="D15" s="29"/>
      <c r="E15" s="29">
        <f xml:space="preserve"> MAX(0,MIN(SUM(C$4:C14),SUM(C$4:C15)))+MIN(0,MAX(SUM(C$4:C14),SUM(C$4:C15)))</f>
        <v>221.59095211185297</v>
      </c>
      <c r="F15" s="28">
        <f xml:space="preserve"> MAX(0,MIN(SUM(C$4:C15),C15))</f>
        <v>7.5124055492103992</v>
      </c>
      <c r="G15" s="28">
        <f t="shared" si="0"/>
        <v>0</v>
      </c>
      <c r="H15" s="28">
        <f t="shared" si="1"/>
        <v>0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25" customHeight="1" x14ac:dyDescent="0.2">
      <c r="A16" s="5"/>
      <c r="B16" s="41" t="s">
        <v>159</v>
      </c>
      <c r="C16" s="29">
        <f>OBXValues!F39</f>
        <v>1.3689355645483019</v>
      </c>
      <c r="D16" s="29"/>
      <c r="E16" s="29">
        <f xml:space="preserve"> MAX(0,MIN(SUM(C$4:C15),SUM(C$4:C16)))+MIN(0,MAX(SUM(C$4:C15),SUM(C$4:C16)))</f>
        <v>229.10335766106337</v>
      </c>
      <c r="F16" s="28">
        <f xml:space="preserve"> MAX(0,MIN(SUM(C$4:C16),C16))</f>
        <v>1.3689355645483019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25" customHeight="1" x14ac:dyDescent="0.2">
      <c r="A17" s="5"/>
      <c r="B17" s="41" t="s">
        <v>163</v>
      </c>
      <c r="C17" s="29">
        <f>OBXValues!F40</f>
        <v>-13.517132667626846</v>
      </c>
      <c r="D17" s="29"/>
      <c r="E17" s="29">
        <f xml:space="preserve"> MAX(0,MIN(SUM(C$4:C16),SUM(C$4:C17)))+MIN(0,MAX(SUM(C$4:C16),SUM(C$4:C17)))</f>
        <v>216.95516055798484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13.517132667626846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25" customHeight="1" x14ac:dyDescent="0.2">
      <c r="A18" s="5"/>
      <c r="B18" s="41" t="s">
        <v>51</v>
      </c>
      <c r="C18" s="29"/>
      <c r="D18" s="29">
        <f>SUM(C4:C17)</f>
        <v>216.95516055798484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25" customHeight="1" x14ac:dyDescent="0.2">
      <c r="A20" s="5"/>
      <c r="B20" s="31" t="s">
        <v>207</v>
      </c>
      <c r="C20" s="5">
        <f>OBXValues!F41</f>
        <v>216.95516055798481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25" customHeight="1" x14ac:dyDescent="0.2">
      <c r="A21" s="5"/>
      <c r="B21" s="5" t="s">
        <v>208</v>
      </c>
      <c r="C21" s="5" t="b">
        <f xml:space="preserve"> IF( C20 = D18, TRUE(), FALSE())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0.9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7"/>
  <sheetViews>
    <sheetView showGridLines="0" workbookViewId="0"/>
  </sheetViews>
  <sheetFormatPr defaultColWidth="0" defaultRowHeight="10.5" x14ac:dyDescent="0.2"/>
  <cols>
    <col min="1" max="1" width="49.77734375" style="31" bestFit="1" customWidth="1"/>
    <col min="2" max="2" width="17.33203125" style="31" bestFit="1" customWidth="1"/>
    <col min="3" max="3" width="10.33203125" style="31" bestFit="1" customWidth="1"/>
    <col min="4" max="4" width="10.44140625" style="31" bestFit="1" customWidth="1"/>
    <col min="5" max="5" width="14.44140625" style="31" bestFit="1" customWidth="1"/>
    <col min="6" max="6" width="21.109375" style="31" bestFit="1" customWidth="1"/>
    <col min="7" max="7" width="17.44140625" style="31" bestFit="1" customWidth="1"/>
    <col min="8" max="8" width="14.33203125" style="31" bestFit="1" customWidth="1"/>
    <col min="9" max="9" width="17.6640625" style="31" bestFit="1" customWidth="1"/>
    <col min="10" max="10" width="51.6640625" style="31" bestFit="1" customWidth="1"/>
    <col min="11" max="12" width="13" style="31" bestFit="1" customWidth="1"/>
    <col min="13" max="13" width="9.109375" style="31" hidden="1" customWidth="1"/>
    <col min="14" max="16384" width="9.109375" style="31" hidden="1"/>
  </cols>
  <sheetData>
    <row r="1" spans="1:12" x14ac:dyDescent="0.2">
      <c r="A1" s="31" t="s">
        <v>210</v>
      </c>
      <c r="B1" s="31" t="s">
        <v>211</v>
      </c>
      <c r="C1" s="31" t="s">
        <v>212</v>
      </c>
      <c r="D1" s="31" t="s">
        <v>213</v>
      </c>
      <c r="E1" s="31" t="s">
        <v>214</v>
      </c>
      <c r="F1" s="31" t="s">
        <v>215</v>
      </c>
      <c r="G1" s="31" t="s">
        <v>216</v>
      </c>
      <c r="H1" s="31" t="s">
        <v>217</v>
      </c>
      <c r="I1" s="31" t="s">
        <v>218</v>
      </c>
      <c r="J1" s="31" t="s">
        <v>219</v>
      </c>
      <c r="K1" s="31" t="s">
        <v>220</v>
      </c>
      <c r="L1" s="31" t="s">
        <v>221</v>
      </c>
    </row>
    <row r="2" spans="1:12" x14ac:dyDescent="0.2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222</v>
      </c>
    </row>
    <row r="3" spans="1:12" x14ac:dyDescent="0.2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223</v>
      </c>
    </row>
    <row r="4" spans="1:12" x14ac:dyDescent="0.2">
      <c r="A4" s="31" t="s">
        <v>28</v>
      </c>
      <c r="C4" s="31">
        <v>0</v>
      </c>
      <c r="D4" s="81">
        <v>44286</v>
      </c>
      <c r="G4" s="31">
        <f>InpS!$F$15</f>
        <v>241.50996182396747</v>
      </c>
      <c r="I4" s="31">
        <v>0</v>
      </c>
      <c r="J4" s="31" t="s">
        <v>224</v>
      </c>
    </row>
    <row r="5" spans="1:12" x14ac:dyDescent="0.2">
      <c r="A5" s="31" t="s">
        <v>30</v>
      </c>
      <c r="C5" s="31">
        <v>0</v>
      </c>
      <c r="D5" s="81">
        <v>44286</v>
      </c>
      <c r="G5" s="31">
        <f>InpS!$F$16</f>
        <v>363.654</v>
      </c>
      <c r="I5" s="31">
        <v>0</v>
      </c>
      <c r="J5" s="31" t="s">
        <v>225</v>
      </c>
    </row>
    <row r="6" spans="1:12" x14ac:dyDescent="0.2">
      <c r="A6" s="31" t="s">
        <v>31</v>
      </c>
      <c r="C6" s="31">
        <v>0</v>
      </c>
      <c r="D6" s="81">
        <v>44286</v>
      </c>
      <c r="G6" s="31">
        <f>InpS!$F$17</f>
        <v>152.34922073571767</v>
      </c>
      <c r="I6" s="31">
        <v>0</v>
      </c>
      <c r="J6" s="31" t="s">
        <v>226</v>
      </c>
    </row>
    <row r="7" spans="1:12" x14ac:dyDescent="0.2">
      <c r="A7" s="31" t="s">
        <v>32</v>
      </c>
      <c r="C7" s="31">
        <v>0</v>
      </c>
      <c r="D7" s="81">
        <v>44286</v>
      </c>
      <c r="G7" s="31">
        <f>InpS!$F$18</f>
        <v>213.869</v>
      </c>
      <c r="I7" s="31">
        <v>0</v>
      </c>
      <c r="J7" s="31" t="s">
        <v>227</v>
      </c>
    </row>
    <row r="8" spans="1:12" x14ac:dyDescent="0.2">
      <c r="A8" s="31" t="s">
        <v>33</v>
      </c>
      <c r="C8" s="31">
        <v>0</v>
      </c>
      <c r="D8" s="81">
        <v>44286</v>
      </c>
      <c r="G8" s="31">
        <f>InpS!$F$19</f>
        <v>263.67805654235377</v>
      </c>
      <c r="I8" s="31">
        <v>0</v>
      </c>
      <c r="J8" s="31" t="s">
        <v>228</v>
      </c>
    </row>
    <row r="9" spans="1:12" x14ac:dyDescent="0.2">
      <c r="A9" s="31" t="s">
        <v>34</v>
      </c>
      <c r="C9" s="31">
        <v>0</v>
      </c>
      <c r="D9" s="81">
        <v>44286</v>
      </c>
      <c r="G9" s="31">
        <f>InpS!$F$20</f>
        <v>392.24459812698001</v>
      </c>
      <c r="I9" s="31">
        <v>0</v>
      </c>
      <c r="J9" s="31" t="s">
        <v>229</v>
      </c>
    </row>
    <row r="10" spans="1:12" x14ac:dyDescent="0.2">
      <c r="A10" s="31" t="s">
        <v>36</v>
      </c>
      <c r="C10" s="31">
        <v>0</v>
      </c>
      <c r="D10" s="81">
        <v>44286</v>
      </c>
      <c r="G10" s="31">
        <f>InpS!$F$24</f>
        <v>78.329559960676136</v>
      </c>
      <c r="I10" s="31">
        <v>0</v>
      </c>
      <c r="J10" s="31" t="s">
        <v>230</v>
      </c>
    </row>
    <row r="11" spans="1:12" x14ac:dyDescent="0.2">
      <c r="A11" s="31" t="s">
        <v>37</v>
      </c>
      <c r="C11" s="31">
        <v>0</v>
      </c>
      <c r="D11" s="81">
        <v>44286</v>
      </c>
      <c r="G11" s="31">
        <f>InpS!$F$25</f>
        <v>95.310084251821522</v>
      </c>
      <c r="I11" s="31">
        <v>0</v>
      </c>
      <c r="J11" s="31" t="s">
        <v>231</v>
      </c>
    </row>
    <row r="12" spans="1:12" x14ac:dyDescent="0.2">
      <c r="A12" s="31" t="s">
        <v>38</v>
      </c>
      <c r="C12" s="31">
        <v>0</v>
      </c>
      <c r="D12" s="81">
        <v>44286</v>
      </c>
      <c r="G12" s="31">
        <f>InpS!$F$26</f>
        <v>1454.0654175856976</v>
      </c>
      <c r="I12" s="31">
        <v>0</v>
      </c>
      <c r="J12" s="31" t="s">
        <v>232</v>
      </c>
    </row>
    <row r="13" spans="1:12" x14ac:dyDescent="0.2">
      <c r="A13" s="31" t="s">
        <v>39</v>
      </c>
      <c r="C13" s="31">
        <v>0</v>
      </c>
      <c r="D13" s="81">
        <v>44286</v>
      </c>
      <c r="G13" s="31">
        <f>InpS!$F$27</f>
        <v>2224.2996482661056</v>
      </c>
      <c r="I13" s="31">
        <v>0</v>
      </c>
      <c r="J13" s="31" t="s">
        <v>233</v>
      </c>
    </row>
    <row r="14" spans="1:12" x14ac:dyDescent="0.2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234</v>
      </c>
    </row>
    <row r="15" spans="1:12" x14ac:dyDescent="0.2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235</v>
      </c>
    </row>
    <row r="16" spans="1:12" x14ac:dyDescent="0.2">
      <c r="A16" s="31" t="s">
        <v>44</v>
      </c>
      <c r="C16" s="31">
        <v>0</v>
      </c>
      <c r="D16" s="81">
        <v>44286</v>
      </c>
      <c r="G16" s="31">
        <f>InpS!$F$33</f>
        <v>392.33159812698005</v>
      </c>
      <c r="I16" s="31">
        <v>0</v>
      </c>
      <c r="J16" s="31" t="s">
        <v>236</v>
      </c>
    </row>
    <row r="17" spans="1:10" x14ac:dyDescent="0.2">
      <c r="A17" s="31" t="s">
        <v>45</v>
      </c>
      <c r="C17" s="31">
        <v>0</v>
      </c>
      <c r="D17" s="81">
        <v>44286</v>
      </c>
      <c r="G17" s="31">
        <f>InpS!$F$34</f>
        <v>263.67805654235377</v>
      </c>
      <c r="I17" s="31">
        <v>0</v>
      </c>
      <c r="J17" s="31" t="s">
        <v>237</v>
      </c>
    </row>
    <row r="18" spans="1:10" x14ac:dyDescent="0.2">
      <c r="A18" s="31" t="s">
        <v>46</v>
      </c>
      <c r="C18" s="31">
        <v>0</v>
      </c>
      <c r="D18" s="81">
        <v>44286</v>
      </c>
      <c r="G18" s="31">
        <f>InpS!$F$35</f>
        <v>392.24459812698001</v>
      </c>
      <c r="I18" s="31">
        <v>0</v>
      </c>
      <c r="J18" s="31" t="s">
        <v>238</v>
      </c>
    </row>
    <row r="19" spans="1:10" x14ac:dyDescent="0.2">
      <c r="A19" s="31" t="s">
        <v>47</v>
      </c>
      <c r="C19" s="31">
        <v>0</v>
      </c>
      <c r="D19" s="81">
        <v>44286</v>
      </c>
      <c r="G19" s="31">
        <f>InpS!$F$36</f>
        <v>37.376543940688926</v>
      </c>
      <c r="I19" s="31">
        <v>0</v>
      </c>
      <c r="J19" s="31" t="s">
        <v>239</v>
      </c>
    </row>
    <row r="20" spans="1:10" x14ac:dyDescent="0.2">
      <c r="A20" s="31" t="s">
        <v>48</v>
      </c>
      <c r="C20" s="31">
        <v>0</v>
      </c>
      <c r="D20" s="81">
        <v>44286</v>
      </c>
      <c r="G20" s="31">
        <f>InpS!$F$37</f>
        <v>69.84451387515854</v>
      </c>
      <c r="I20" s="31">
        <v>0</v>
      </c>
      <c r="J20" s="31" t="s">
        <v>240</v>
      </c>
    </row>
    <row r="21" spans="1:10" x14ac:dyDescent="0.2">
      <c r="A21" s="31" t="s">
        <v>49</v>
      </c>
      <c r="C21" s="31">
        <v>0</v>
      </c>
      <c r="D21" s="81">
        <v>44286</v>
      </c>
      <c r="G21" s="31">
        <f>InpS!$F$38</f>
        <v>191.71960651497787</v>
      </c>
      <c r="I21" s="31">
        <v>0</v>
      </c>
      <c r="J21" s="31" t="s">
        <v>241</v>
      </c>
    </row>
    <row r="22" spans="1:10" x14ac:dyDescent="0.2">
      <c r="A22" s="31" t="s">
        <v>51</v>
      </c>
      <c r="C22" s="31">
        <v>0</v>
      </c>
      <c r="D22" s="81">
        <v>44286</v>
      </c>
      <c r="G22" s="31">
        <f>InpS!$F$39</f>
        <v>216.95516055798481</v>
      </c>
      <c r="I22" s="31">
        <v>0</v>
      </c>
      <c r="J22" s="31" t="s">
        <v>242</v>
      </c>
    </row>
    <row r="23" spans="1:10" x14ac:dyDescent="0.2">
      <c r="A23" s="31" t="s">
        <v>53</v>
      </c>
      <c r="C23" s="31">
        <v>0</v>
      </c>
      <c r="D23" s="81">
        <v>44286</v>
      </c>
      <c r="G23" s="31">
        <f>InpS!$F$43</f>
        <v>-1.7255587001533996</v>
      </c>
      <c r="I23" s="31">
        <v>0</v>
      </c>
      <c r="J23" s="31" t="s">
        <v>243</v>
      </c>
    </row>
    <row r="24" spans="1:10" x14ac:dyDescent="0.2">
      <c r="A24" s="31" t="s">
        <v>54</v>
      </c>
      <c r="C24" s="31">
        <v>0</v>
      </c>
      <c r="D24" s="81">
        <v>44286</v>
      </c>
      <c r="G24" s="31">
        <f>InpS!$F$44</f>
        <v>8.6999999999999744E-2</v>
      </c>
      <c r="I24" s="31">
        <v>0</v>
      </c>
      <c r="J24" s="31" t="s">
        <v>244</v>
      </c>
    </row>
    <row r="25" spans="1:10" x14ac:dyDescent="0.2">
      <c r="A25" s="31" t="s">
        <v>56</v>
      </c>
      <c r="C25" s="31">
        <v>0</v>
      </c>
      <c r="D25" s="81">
        <v>44286</v>
      </c>
      <c r="G25" s="31">
        <f>InpS!$F$48</f>
        <v>0</v>
      </c>
      <c r="I25" s="31">
        <v>0</v>
      </c>
      <c r="J25" s="31" t="s">
        <v>245</v>
      </c>
    </row>
    <row r="26" spans="1:10" x14ac:dyDescent="0.2">
      <c r="A26" s="31" t="s">
        <v>57</v>
      </c>
      <c r="C26" s="31">
        <v>0</v>
      </c>
      <c r="D26" s="81">
        <v>44286</v>
      </c>
      <c r="G26" s="31">
        <f>InpS!$F$49</f>
        <v>0</v>
      </c>
      <c r="I26" s="31">
        <v>0</v>
      </c>
      <c r="J26" s="31" t="s">
        <v>246</v>
      </c>
    </row>
    <row r="27" spans="1:10" x14ac:dyDescent="0.2">
      <c r="A27" s="31" t="s">
        <v>58</v>
      </c>
      <c r="C27" s="31">
        <v>0</v>
      </c>
      <c r="D27" s="81">
        <v>44286</v>
      </c>
      <c r="G27" s="31">
        <f>InpS!$F$50</f>
        <v>1.0873099189099602</v>
      </c>
      <c r="I27" s="31">
        <v>0</v>
      </c>
      <c r="J27" s="31" t="s">
        <v>247</v>
      </c>
    </row>
    <row r="28" spans="1:10" x14ac:dyDescent="0.2">
      <c r="A28" s="31" t="s">
        <v>59</v>
      </c>
      <c r="C28" s="31">
        <v>0</v>
      </c>
      <c r="D28" s="81">
        <v>44286</v>
      </c>
      <c r="G28" s="31">
        <f>InpS!$F$51</f>
        <v>0</v>
      </c>
      <c r="I28" s="31">
        <v>0</v>
      </c>
      <c r="J28" s="31" t="s">
        <v>248</v>
      </c>
    </row>
    <row r="29" spans="1:10" x14ac:dyDescent="0.2">
      <c r="A29" s="31" t="s">
        <v>60</v>
      </c>
      <c r="C29" s="31">
        <v>0</v>
      </c>
      <c r="D29" s="81">
        <v>44286</v>
      </c>
      <c r="G29" s="31">
        <f>InpS!$F$52</f>
        <v>-3.3423349135740708</v>
      </c>
      <c r="I29" s="31">
        <v>0</v>
      </c>
      <c r="J29" s="31" t="s">
        <v>249</v>
      </c>
    </row>
    <row r="30" spans="1:10" x14ac:dyDescent="0.2">
      <c r="A30" s="31" t="s">
        <v>61</v>
      </c>
      <c r="C30" s="31">
        <v>0</v>
      </c>
      <c r="D30" s="81">
        <v>44286</v>
      </c>
      <c r="G30" s="31">
        <f>InpS!$F$53</f>
        <v>0</v>
      </c>
      <c r="I30" s="31">
        <v>0</v>
      </c>
      <c r="J30" s="31" t="s">
        <v>250</v>
      </c>
    </row>
    <row r="31" spans="1:10" x14ac:dyDescent="0.2">
      <c r="A31" s="31" t="s">
        <v>63</v>
      </c>
      <c r="C31" s="31">
        <v>0</v>
      </c>
      <c r="D31" s="81">
        <v>44286</v>
      </c>
      <c r="F31" s="82">
        <f>InpS!$F$57</f>
        <v>0.817283425232745</v>
      </c>
      <c r="I31" s="31">
        <v>0</v>
      </c>
      <c r="J31" s="31" t="s">
        <v>251</v>
      </c>
    </row>
    <row r="32" spans="1:10" x14ac:dyDescent="0.2">
      <c r="A32" s="31" t="s">
        <v>65</v>
      </c>
      <c r="C32" s="31">
        <v>0</v>
      </c>
      <c r="D32" s="81">
        <v>44286</v>
      </c>
      <c r="F32" s="82">
        <f>InpS!$F$58</f>
        <v>0.80556113694331322</v>
      </c>
      <c r="I32" s="31">
        <v>0</v>
      </c>
      <c r="J32" s="31" t="s">
        <v>252</v>
      </c>
    </row>
    <row r="33" spans="1:10" x14ac:dyDescent="0.2">
      <c r="A33" s="31" t="s">
        <v>66</v>
      </c>
      <c r="C33" s="31">
        <v>0</v>
      </c>
      <c r="D33" s="81">
        <v>44286</v>
      </c>
      <c r="G33" s="31">
        <f>InpS!$F$59</f>
        <v>1152.3219999999999</v>
      </c>
      <c r="I33" s="31">
        <v>0</v>
      </c>
      <c r="J33" s="31" t="s">
        <v>253</v>
      </c>
    </row>
    <row r="34" spans="1:10" x14ac:dyDescent="0.2">
      <c r="A34" s="31" t="s">
        <v>68</v>
      </c>
      <c r="C34" s="31">
        <v>0</v>
      </c>
      <c r="D34" s="81">
        <v>44286</v>
      </c>
      <c r="G34" s="31">
        <f>InpS!$F$60</f>
        <v>326.53399999999999</v>
      </c>
      <c r="I34" s="31">
        <v>0</v>
      </c>
      <c r="J34" s="31" t="s">
        <v>254</v>
      </c>
    </row>
    <row r="35" spans="1:10" x14ac:dyDescent="0.2">
      <c r="A35" s="31" t="s">
        <v>69</v>
      </c>
      <c r="C35" s="31">
        <v>0</v>
      </c>
      <c r="D35" s="81">
        <v>44286</v>
      </c>
      <c r="G35" s="31">
        <f>InpS!$F$61</f>
        <v>1164.56</v>
      </c>
      <c r="I35" s="31">
        <v>0</v>
      </c>
      <c r="J35" s="31" t="s">
        <v>255</v>
      </c>
    </row>
    <row r="36" spans="1:10" x14ac:dyDescent="0.2">
      <c r="A36" s="31" t="s">
        <v>70</v>
      </c>
      <c r="C36" s="31">
        <v>0</v>
      </c>
      <c r="D36" s="81">
        <v>44286</v>
      </c>
      <c r="G36" s="31">
        <f>InpS!$F$62</f>
        <v>390</v>
      </c>
      <c r="I36" s="31">
        <v>0</v>
      </c>
      <c r="J36" s="31" t="s">
        <v>256</v>
      </c>
    </row>
    <row r="37" spans="1:10" x14ac:dyDescent="0.2">
      <c r="A37" s="31" t="s">
        <v>72</v>
      </c>
      <c r="C37" s="31">
        <v>0</v>
      </c>
      <c r="D37" s="81">
        <v>44286</v>
      </c>
      <c r="G37" s="31">
        <f>InpS!$F$66</f>
        <v>30.764575497850217</v>
      </c>
      <c r="I37" s="31">
        <v>0</v>
      </c>
      <c r="J37" s="31" t="s">
        <v>257</v>
      </c>
    </row>
    <row r="38" spans="1:10" x14ac:dyDescent="0.2">
      <c r="A38" s="31" t="s">
        <v>73</v>
      </c>
      <c r="C38" s="31">
        <v>0</v>
      </c>
      <c r="D38" s="81">
        <v>44286</v>
      </c>
      <c r="G38" s="31">
        <f>InpS!$F$67</f>
        <v>34.467534909120822</v>
      </c>
      <c r="I38" s="31">
        <v>0</v>
      </c>
      <c r="J38" s="31" t="s">
        <v>258</v>
      </c>
    </row>
    <row r="39" spans="1:10" x14ac:dyDescent="0.2">
      <c r="A39" s="31" t="s">
        <v>75</v>
      </c>
      <c r="C39" s="31">
        <v>0</v>
      </c>
      <c r="D39" s="81">
        <v>44286</v>
      </c>
      <c r="G39" s="31">
        <f>InpS!$F$71</f>
        <v>1091</v>
      </c>
      <c r="I39" s="31">
        <v>0</v>
      </c>
      <c r="J39" s="31" t="s">
        <v>259</v>
      </c>
    </row>
    <row r="40" spans="1:10" x14ac:dyDescent="0.2">
      <c r="A40" s="31" t="s">
        <v>76</v>
      </c>
      <c r="C40" s="31">
        <v>0</v>
      </c>
      <c r="D40" s="81">
        <v>44286</v>
      </c>
      <c r="G40" s="31">
        <f>InpS!$F$72</f>
        <v>1374</v>
      </c>
      <c r="I40" s="31">
        <v>0</v>
      </c>
      <c r="J40" s="31" t="s">
        <v>260</v>
      </c>
    </row>
    <row r="41" spans="1:10" x14ac:dyDescent="0.2">
      <c r="A41" s="31" t="s">
        <v>77</v>
      </c>
      <c r="C41" s="31">
        <v>0</v>
      </c>
      <c r="D41" s="81">
        <v>44286</v>
      </c>
      <c r="G41" s="31">
        <f>InpS!$F$73</f>
        <v>0</v>
      </c>
      <c r="I41" s="31">
        <v>0</v>
      </c>
      <c r="J41" s="31" t="s">
        <v>261</v>
      </c>
    </row>
    <row r="42" spans="1:10" x14ac:dyDescent="0.2">
      <c r="A42" s="31" t="s">
        <v>78</v>
      </c>
      <c r="C42" s="31">
        <v>0</v>
      </c>
      <c r="D42" s="81">
        <v>44286</v>
      </c>
      <c r="G42" s="31">
        <f>InpS!$F$74</f>
        <v>0</v>
      </c>
      <c r="I42" s="31">
        <v>0</v>
      </c>
      <c r="J42" s="31" t="s">
        <v>262</v>
      </c>
    </row>
    <row r="43" spans="1:10" x14ac:dyDescent="0.2">
      <c r="A43" s="31" t="s">
        <v>79</v>
      </c>
      <c r="C43" s="31">
        <v>0</v>
      </c>
      <c r="D43" s="81">
        <v>44286</v>
      </c>
      <c r="G43" s="31">
        <f>InpS!$F$75</f>
        <v>0</v>
      </c>
      <c r="I43" s="31">
        <v>0</v>
      </c>
      <c r="J43" s="31" t="s">
        <v>263</v>
      </c>
    </row>
    <row r="44" spans="1:10" x14ac:dyDescent="0.2">
      <c r="A44" s="31" t="s">
        <v>80</v>
      </c>
      <c r="C44" s="31">
        <v>0</v>
      </c>
      <c r="D44" s="81">
        <v>44286</v>
      </c>
      <c r="G44" s="31">
        <f>InpS!$F$76</f>
        <v>0</v>
      </c>
      <c r="I44" s="31">
        <v>0</v>
      </c>
      <c r="J44" s="31" t="s">
        <v>264</v>
      </c>
    </row>
    <row r="45" spans="1:10" x14ac:dyDescent="0.2">
      <c r="A45" s="31" t="s">
        <v>81</v>
      </c>
      <c r="C45" s="31">
        <v>0</v>
      </c>
      <c r="D45" s="81">
        <v>44286</v>
      </c>
      <c r="G45" s="31">
        <f>InpS!$F$77</f>
        <v>13.6</v>
      </c>
      <c r="I45" s="31">
        <v>0</v>
      </c>
      <c r="J45" s="31" t="s">
        <v>265</v>
      </c>
    </row>
    <row r="46" spans="1:10" x14ac:dyDescent="0.2">
      <c r="A46" s="31" t="s">
        <v>82</v>
      </c>
      <c r="C46" s="31">
        <v>0</v>
      </c>
      <c r="D46" s="81">
        <v>44286</v>
      </c>
      <c r="G46" s="31">
        <f>InpS!$F$78</f>
        <v>32.61</v>
      </c>
      <c r="I46" s="31">
        <v>0</v>
      </c>
      <c r="J46" s="31" t="s">
        <v>266</v>
      </c>
    </row>
    <row r="47" spans="1:10" x14ac:dyDescent="0.2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267</v>
      </c>
    </row>
    <row r="48" spans="1:10" x14ac:dyDescent="0.2">
      <c r="A48" s="31" t="s">
        <v>84</v>
      </c>
      <c r="C48" s="31">
        <v>0</v>
      </c>
      <c r="D48" s="81">
        <v>44286</v>
      </c>
      <c r="G48" s="31">
        <f>InpS!$F$80</f>
        <v>4.3</v>
      </c>
      <c r="I48" s="31">
        <v>0</v>
      </c>
      <c r="J48" s="31" t="s">
        <v>268</v>
      </c>
    </row>
    <row r="49" spans="1:10" x14ac:dyDescent="0.2">
      <c r="A49" s="31" t="s">
        <v>85</v>
      </c>
      <c r="C49" s="31">
        <v>0</v>
      </c>
      <c r="D49" s="81">
        <v>44286</v>
      </c>
      <c r="G49" s="31">
        <f>InpS!$F$81</f>
        <v>120</v>
      </c>
      <c r="I49" s="31">
        <v>0</v>
      </c>
      <c r="J49" s="31" t="s">
        <v>269</v>
      </c>
    </row>
    <row r="50" spans="1:10" x14ac:dyDescent="0.2">
      <c r="A50" s="31" t="s">
        <v>86</v>
      </c>
      <c r="C50" s="31">
        <v>0</v>
      </c>
      <c r="D50" s="81">
        <v>44286</v>
      </c>
      <c r="G50" s="31">
        <f>InpS!$F$82</f>
        <v>385.29</v>
      </c>
      <c r="I50" s="31">
        <v>0</v>
      </c>
      <c r="J50" s="31" t="s">
        <v>270</v>
      </c>
    </row>
    <row r="51" spans="1:10" x14ac:dyDescent="0.2">
      <c r="A51" s="31" t="s">
        <v>87</v>
      </c>
      <c r="C51" s="31">
        <v>0</v>
      </c>
      <c r="D51" s="81">
        <v>44286</v>
      </c>
      <c r="G51" s="31">
        <f>InpS!$F$83</f>
        <v>121</v>
      </c>
      <c r="I51" s="31">
        <v>0</v>
      </c>
      <c r="J51" s="31" t="s">
        <v>271</v>
      </c>
    </row>
    <row r="52" spans="1:10" x14ac:dyDescent="0.2">
      <c r="A52" s="31" t="s">
        <v>88</v>
      </c>
      <c r="C52" s="31">
        <v>0</v>
      </c>
      <c r="D52" s="81">
        <v>44286</v>
      </c>
      <c r="G52" s="31">
        <f>InpS!$F$84</f>
        <v>165.97</v>
      </c>
      <c r="I52" s="31">
        <v>0</v>
      </c>
      <c r="J52" s="31" t="s">
        <v>272</v>
      </c>
    </row>
    <row r="53" spans="1:10" x14ac:dyDescent="0.2">
      <c r="A53" s="31" t="s">
        <v>89</v>
      </c>
      <c r="C53" s="31">
        <v>0</v>
      </c>
      <c r="D53" s="81">
        <v>44286</v>
      </c>
      <c r="G53" s="31">
        <f>InpS!$F$85</f>
        <v>0</v>
      </c>
      <c r="I53" s="31">
        <v>0</v>
      </c>
      <c r="J53" s="31" t="s">
        <v>273</v>
      </c>
    </row>
    <row r="54" spans="1:10" x14ac:dyDescent="0.2">
      <c r="A54" s="31" t="s">
        <v>90</v>
      </c>
      <c r="C54" s="31">
        <v>0</v>
      </c>
      <c r="D54" s="81">
        <v>44286</v>
      </c>
      <c r="G54" s="31">
        <f>InpS!$F$86</f>
        <v>0</v>
      </c>
      <c r="I54" s="31">
        <v>0</v>
      </c>
      <c r="J54" s="31" t="s">
        <v>274</v>
      </c>
    </row>
    <row r="55" spans="1:10" x14ac:dyDescent="0.2">
      <c r="A55" s="31" t="s">
        <v>91</v>
      </c>
      <c r="C55" s="31">
        <v>0</v>
      </c>
      <c r="D55" s="81">
        <v>44286</v>
      </c>
      <c r="G55" s="31">
        <f>InpS!$F$87</f>
        <v>11.9</v>
      </c>
      <c r="I55" s="31">
        <v>0</v>
      </c>
      <c r="J55" s="31" t="s">
        <v>275</v>
      </c>
    </row>
    <row r="56" spans="1:10" x14ac:dyDescent="0.2">
      <c r="A56" s="31" t="s">
        <v>92</v>
      </c>
      <c r="C56" s="31">
        <v>0</v>
      </c>
      <c r="D56" s="81">
        <v>44286</v>
      </c>
      <c r="G56" s="31">
        <f>InpS!$F$88</f>
        <v>0</v>
      </c>
      <c r="I56" s="31">
        <v>0</v>
      </c>
      <c r="J56" s="31" t="s">
        <v>276</v>
      </c>
    </row>
    <row r="57" spans="1:10" x14ac:dyDescent="0.2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277</v>
      </c>
    </row>
    <row r="58" spans="1:10" x14ac:dyDescent="0.2">
      <c r="A58" s="31" t="s">
        <v>278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279</v>
      </c>
    </row>
    <row r="59" spans="1:10" x14ac:dyDescent="0.2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280</v>
      </c>
    </row>
    <row r="60" spans="1:10" x14ac:dyDescent="0.2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280</v>
      </c>
    </row>
    <row r="61" spans="1:10" x14ac:dyDescent="0.2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280</v>
      </c>
    </row>
    <row r="62" spans="1:10" x14ac:dyDescent="0.2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280</v>
      </c>
    </row>
    <row r="63" spans="1:10" x14ac:dyDescent="0.2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280</v>
      </c>
    </row>
    <row r="64" spans="1:10" x14ac:dyDescent="0.2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280</v>
      </c>
    </row>
    <row r="65" spans="1:10" x14ac:dyDescent="0.2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280</v>
      </c>
    </row>
    <row r="66" spans="1:10" x14ac:dyDescent="0.2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280</v>
      </c>
    </row>
    <row r="67" spans="1:10" x14ac:dyDescent="0.2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280</v>
      </c>
    </row>
    <row r="68" spans="1:10" x14ac:dyDescent="0.2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280</v>
      </c>
    </row>
    <row r="69" spans="1:10" x14ac:dyDescent="0.2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281</v>
      </c>
    </row>
    <row r="70" spans="1:10" x14ac:dyDescent="0.2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281</v>
      </c>
    </row>
    <row r="71" spans="1:10" x14ac:dyDescent="0.2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281</v>
      </c>
    </row>
    <row r="72" spans="1:10" x14ac:dyDescent="0.2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281</v>
      </c>
    </row>
    <row r="73" spans="1:10" x14ac:dyDescent="0.2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281</v>
      </c>
    </row>
    <row r="74" spans="1:10" x14ac:dyDescent="0.2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281</v>
      </c>
    </row>
    <row r="75" spans="1:10" x14ac:dyDescent="0.2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281</v>
      </c>
    </row>
    <row r="76" spans="1:10" x14ac:dyDescent="0.2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281</v>
      </c>
    </row>
    <row r="77" spans="1:10" x14ac:dyDescent="0.2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281</v>
      </c>
    </row>
    <row r="78" spans="1:10" x14ac:dyDescent="0.2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281</v>
      </c>
    </row>
    <row r="79" spans="1:10" x14ac:dyDescent="0.2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282</v>
      </c>
    </row>
    <row r="80" spans="1:10" x14ac:dyDescent="0.2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282</v>
      </c>
    </row>
    <row r="81" spans="1:10" x14ac:dyDescent="0.2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282</v>
      </c>
    </row>
    <row r="82" spans="1:10" x14ac:dyDescent="0.2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282</v>
      </c>
    </row>
    <row r="83" spans="1:10" x14ac:dyDescent="0.2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282</v>
      </c>
    </row>
    <row r="84" spans="1:10" x14ac:dyDescent="0.2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282</v>
      </c>
    </row>
    <row r="85" spans="1:10" x14ac:dyDescent="0.2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282</v>
      </c>
    </row>
    <row r="86" spans="1:10" x14ac:dyDescent="0.2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282</v>
      </c>
    </row>
    <row r="87" spans="1:10" x14ac:dyDescent="0.2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282</v>
      </c>
    </row>
    <row r="88" spans="1:10" x14ac:dyDescent="0.2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282</v>
      </c>
    </row>
    <row r="89" spans="1:10" x14ac:dyDescent="0.2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283</v>
      </c>
    </row>
    <row r="90" spans="1:10" x14ac:dyDescent="0.2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283</v>
      </c>
    </row>
    <row r="91" spans="1:10" x14ac:dyDescent="0.2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283</v>
      </c>
    </row>
    <row r="92" spans="1:10" x14ac:dyDescent="0.2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283</v>
      </c>
    </row>
    <row r="93" spans="1:10" x14ac:dyDescent="0.2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283</v>
      </c>
    </row>
    <row r="94" spans="1:10" x14ac:dyDescent="0.2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283</v>
      </c>
    </row>
    <row r="95" spans="1:10" x14ac:dyDescent="0.2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283</v>
      </c>
    </row>
    <row r="96" spans="1:10" x14ac:dyDescent="0.2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283</v>
      </c>
    </row>
    <row r="97" spans="1:10" x14ac:dyDescent="0.2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283</v>
      </c>
    </row>
    <row r="98" spans="1:10" x14ac:dyDescent="0.2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283</v>
      </c>
    </row>
    <row r="99" spans="1:10" x14ac:dyDescent="0.2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284</v>
      </c>
    </row>
    <row r="100" spans="1:10" x14ac:dyDescent="0.2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284</v>
      </c>
    </row>
    <row r="101" spans="1:10" x14ac:dyDescent="0.2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284</v>
      </c>
    </row>
    <row r="102" spans="1:10" x14ac:dyDescent="0.2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284</v>
      </c>
    </row>
    <row r="103" spans="1:10" x14ac:dyDescent="0.2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284</v>
      </c>
    </row>
    <row r="104" spans="1:10" x14ac:dyDescent="0.2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284</v>
      </c>
    </row>
    <row r="105" spans="1:10" x14ac:dyDescent="0.2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284</v>
      </c>
    </row>
    <row r="106" spans="1:10" x14ac:dyDescent="0.2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284</v>
      </c>
    </row>
    <row r="107" spans="1:10" x14ac:dyDescent="0.2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284</v>
      </c>
    </row>
    <row r="108" spans="1:10" x14ac:dyDescent="0.2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284</v>
      </c>
    </row>
    <row r="109" spans="1:10" x14ac:dyDescent="0.2">
      <c r="A109" s="31" t="s">
        <v>104</v>
      </c>
      <c r="C109" s="31">
        <v>0</v>
      </c>
      <c r="D109" s="81">
        <v>44286</v>
      </c>
      <c r="G109" s="31">
        <f>Totex!$F$11</f>
        <v>285.13470224939067</v>
      </c>
      <c r="I109" s="31">
        <v>0</v>
      </c>
      <c r="J109" s="31" t="s">
        <v>285</v>
      </c>
    </row>
    <row r="110" spans="1:10" x14ac:dyDescent="0.2">
      <c r="A110" s="31" t="s">
        <v>105</v>
      </c>
      <c r="C110" s="31">
        <v>0</v>
      </c>
      <c r="D110" s="81">
        <v>44286</v>
      </c>
      <c r="G110" s="31">
        <f>Totex!$F$17</f>
        <v>179.86856262297067</v>
      </c>
      <c r="I110" s="31">
        <v>0</v>
      </c>
      <c r="J110" s="31" t="s">
        <v>286</v>
      </c>
    </row>
    <row r="111" spans="1:10" x14ac:dyDescent="0.2">
      <c r="A111" s="31" t="s">
        <v>106</v>
      </c>
      <c r="C111" s="31">
        <v>0</v>
      </c>
      <c r="D111" s="81">
        <v>44286</v>
      </c>
      <c r="G111" s="31">
        <f>Totex!$F$23</f>
        <v>34.000437377029328</v>
      </c>
      <c r="I111" s="31">
        <v>0</v>
      </c>
      <c r="J111" s="31" t="s">
        <v>287</v>
      </c>
    </row>
    <row r="112" spans="1:10" x14ac:dyDescent="0.2">
      <c r="A112" s="31" t="s">
        <v>107</v>
      </c>
      <c r="C112" s="31">
        <v>0</v>
      </c>
      <c r="D112" s="81">
        <v>44286</v>
      </c>
      <c r="F112" s="82">
        <f>Totex!$F$29</f>
        <v>0.63081961334068049</v>
      </c>
      <c r="I112" s="31">
        <v>0</v>
      </c>
      <c r="J112" s="31" t="s">
        <v>288</v>
      </c>
    </row>
    <row r="113" spans="1:10" x14ac:dyDescent="0.2">
      <c r="A113" s="31" t="s">
        <v>108</v>
      </c>
      <c r="C113" s="31">
        <v>0</v>
      </c>
      <c r="D113" s="81">
        <v>44286</v>
      </c>
      <c r="F113" s="82">
        <f>Totex!$F$35</f>
        <v>0.58811122660550963</v>
      </c>
      <c r="I113" s="31">
        <v>0</v>
      </c>
      <c r="J113" s="31" t="s">
        <v>289</v>
      </c>
    </row>
    <row r="114" spans="1:10" x14ac:dyDescent="0.2">
      <c r="A114" s="31" t="s">
        <v>109</v>
      </c>
      <c r="C114" s="31">
        <v>0</v>
      </c>
      <c r="D114" s="81">
        <v>44286</v>
      </c>
      <c r="F114" s="82">
        <f>Totex!$F$41</f>
        <v>-4.2708386735170856E-2</v>
      </c>
      <c r="I114" s="31">
        <v>0</v>
      </c>
      <c r="J114" s="31" t="s">
        <v>290</v>
      </c>
    </row>
    <row r="115" spans="1:10" x14ac:dyDescent="0.2">
      <c r="A115" s="31" t="s">
        <v>110</v>
      </c>
      <c r="C115" s="31">
        <v>0</v>
      </c>
      <c r="D115" s="81">
        <v>44286</v>
      </c>
      <c r="G115" s="31">
        <f>Totex!$F$47</f>
        <v>-15.531075669791822</v>
      </c>
      <c r="I115" s="31">
        <v>0</v>
      </c>
      <c r="J115" s="31" t="s">
        <v>291</v>
      </c>
    </row>
    <row r="116" spans="1:10" x14ac:dyDescent="0.2">
      <c r="A116" s="31" t="s">
        <v>111</v>
      </c>
      <c r="C116" s="31">
        <v>0</v>
      </c>
      <c r="D116" s="81">
        <v>44286</v>
      </c>
      <c r="G116" s="31">
        <f>Totex!$F$53</f>
        <v>49.531513046821146</v>
      </c>
      <c r="I116" s="31">
        <v>0</v>
      </c>
      <c r="J116" s="31" t="s">
        <v>292</v>
      </c>
    </row>
    <row r="117" spans="1:10" x14ac:dyDescent="0.2">
      <c r="A117" s="31" t="s">
        <v>112</v>
      </c>
      <c r="C117" s="31">
        <v>0</v>
      </c>
      <c r="D117" s="81">
        <v>44286</v>
      </c>
      <c r="G117" s="31">
        <f>Totex!$F$59</f>
        <v>311.3070929831963</v>
      </c>
      <c r="I117" s="31">
        <v>0</v>
      </c>
      <c r="J117" s="31" t="s">
        <v>293</v>
      </c>
    </row>
    <row r="118" spans="1:10" x14ac:dyDescent="0.2">
      <c r="A118" s="31" t="s">
        <v>113</v>
      </c>
      <c r="C118" s="31">
        <v>0</v>
      </c>
      <c r="D118" s="81">
        <v>44286</v>
      </c>
      <c r="G118" s="31">
        <f>Totex!$F$67</f>
        <v>52.064574634484167</v>
      </c>
      <c r="I118" s="31">
        <v>0</v>
      </c>
      <c r="J118" s="31" t="s">
        <v>294</v>
      </c>
    </row>
    <row r="119" spans="1:10" x14ac:dyDescent="0.2">
      <c r="A119" s="31" t="s">
        <v>114</v>
      </c>
      <c r="C119" s="31">
        <v>0</v>
      </c>
      <c r="D119" s="81">
        <v>44286</v>
      </c>
      <c r="G119" s="31">
        <f>Totex!$F$73</f>
        <v>0.71802663151548995</v>
      </c>
      <c r="I119" s="31">
        <v>0</v>
      </c>
      <c r="J119" s="31" t="s">
        <v>295</v>
      </c>
    </row>
    <row r="120" spans="1:10" x14ac:dyDescent="0.2">
      <c r="A120" s="31" t="s">
        <v>116</v>
      </c>
      <c r="C120" s="31">
        <v>0</v>
      </c>
      <c r="D120" s="81">
        <v>44286</v>
      </c>
      <c r="G120" s="31">
        <f>Totex!$F$80</f>
        <v>21.871421738002606</v>
      </c>
      <c r="I120" s="31">
        <v>0</v>
      </c>
      <c r="J120" s="31" t="s">
        <v>296</v>
      </c>
    </row>
    <row r="121" spans="1:10" x14ac:dyDescent="0.2">
      <c r="A121" s="31" t="s">
        <v>117</v>
      </c>
      <c r="C121" s="31">
        <v>0</v>
      </c>
      <c r="D121" s="81">
        <v>44286</v>
      </c>
      <c r="G121" s="31">
        <f>Totex!$F$86</f>
        <v>15.704263276992675</v>
      </c>
      <c r="I121" s="31">
        <v>0</v>
      </c>
      <c r="J121" s="31" t="s">
        <v>297</v>
      </c>
    </row>
    <row r="122" spans="1:10" x14ac:dyDescent="0.2">
      <c r="A122" s="31" t="s">
        <v>118</v>
      </c>
      <c r="C122" s="31">
        <v>0</v>
      </c>
      <c r="D122" s="81">
        <v>44286</v>
      </c>
      <c r="G122" s="31">
        <f>Totex!$F$93</f>
        <v>22.877821034166924</v>
      </c>
      <c r="I122" s="31">
        <v>0</v>
      </c>
      <c r="J122" s="31" t="s">
        <v>298</v>
      </c>
    </row>
    <row r="123" spans="1:10" x14ac:dyDescent="0.2">
      <c r="A123" s="31" t="s">
        <v>119</v>
      </c>
      <c r="C123" s="31">
        <v>0</v>
      </c>
      <c r="D123" s="81">
        <v>44286</v>
      </c>
      <c r="G123" s="31">
        <f>Totex!$F$100</f>
        <v>21.871421738002606</v>
      </c>
      <c r="I123" s="31">
        <v>0</v>
      </c>
      <c r="J123" s="31" t="s">
        <v>299</v>
      </c>
    </row>
    <row r="124" spans="1:10" x14ac:dyDescent="0.2">
      <c r="A124" s="31" t="s">
        <v>120</v>
      </c>
      <c r="C124" s="31">
        <v>0</v>
      </c>
      <c r="D124" s="81">
        <v>44286</v>
      </c>
      <c r="G124" s="31">
        <f>Totex!$F$106</f>
        <v>15.704263276992675</v>
      </c>
      <c r="I124" s="31">
        <v>0</v>
      </c>
      <c r="J124" s="31" t="s">
        <v>300</v>
      </c>
    </row>
    <row r="125" spans="1:10" x14ac:dyDescent="0.2">
      <c r="A125" s="31" t="s">
        <v>121</v>
      </c>
      <c r="C125" s="31">
        <v>0</v>
      </c>
      <c r="D125" s="81">
        <v>44286</v>
      </c>
      <c r="G125" s="31">
        <f>Totex!$F$112</f>
        <v>-7.1735577571742493</v>
      </c>
      <c r="I125" s="31">
        <v>0</v>
      </c>
      <c r="J125" s="31" t="s">
        <v>301</v>
      </c>
    </row>
    <row r="126" spans="1:10" x14ac:dyDescent="0.2">
      <c r="A126" s="31" t="s">
        <v>122</v>
      </c>
      <c r="C126" s="31">
        <v>0</v>
      </c>
      <c r="D126" s="81">
        <v>44286</v>
      </c>
      <c r="G126" s="31">
        <f>RCV!$F$11</f>
        <v>1716.7180465898628</v>
      </c>
      <c r="I126" s="31">
        <v>0</v>
      </c>
      <c r="J126" s="31" t="s">
        <v>302</v>
      </c>
    </row>
    <row r="127" spans="1:10" x14ac:dyDescent="0.2">
      <c r="A127" s="31" t="s">
        <v>123</v>
      </c>
      <c r="C127" s="31">
        <v>0</v>
      </c>
      <c r="D127" s="81">
        <v>44286</v>
      </c>
      <c r="G127" s="31">
        <f>RCV!$F$17</f>
        <v>92.478486552005677</v>
      </c>
      <c r="I127" s="31">
        <v>0</v>
      </c>
      <c r="J127" s="31" t="s">
        <v>303</v>
      </c>
    </row>
    <row r="128" spans="1:10" x14ac:dyDescent="0.2">
      <c r="A128" s="31" t="s">
        <v>124</v>
      </c>
      <c r="C128" s="31">
        <v>0</v>
      </c>
      <c r="D128" s="81">
        <v>44286</v>
      </c>
      <c r="G128" s="31">
        <f>RCV!$F$23</f>
        <v>2.8315976998158447</v>
      </c>
      <c r="I128" s="31">
        <v>0</v>
      </c>
      <c r="J128" s="31" t="s">
        <v>304</v>
      </c>
    </row>
    <row r="129" spans="1:10" x14ac:dyDescent="0.2">
      <c r="A129" s="31" t="s">
        <v>125</v>
      </c>
      <c r="C129" s="31">
        <v>0</v>
      </c>
      <c r="D129" s="81">
        <v>44286</v>
      </c>
      <c r="F129" s="82">
        <f>RCV!$F$29</f>
        <v>5.386935072751612E-2</v>
      </c>
      <c r="I129" s="31">
        <v>0</v>
      </c>
      <c r="J129" s="31" t="s">
        <v>305</v>
      </c>
    </row>
    <row r="130" spans="1:10" x14ac:dyDescent="0.2">
      <c r="A130" s="31" t="s">
        <v>126</v>
      </c>
      <c r="C130" s="31">
        <v>0</v>
      </c>
      <c r="D130" s="81">
        <v>44286</v>
      </c>
      <c r="F130" s="82">
        <f>RCV!$F$35</f>
        <v>4.2849480431342964E-2</v>
      </c>
      <c r="I130" s="31">
        <v>0</v>
      </c>
      <c r="J130" s="31" t="s">
        <v>306</v>
      </c>
    </row>
    <row r="131" spans="1:10" x14ac:dyDescent="0.2">
      <c r="A131" s="31" t="s">
        <v>127</v>
      </c>
      <c r="C131" s="31">
        <v>0</v>
      </c>
      <c r="D131" s="81">
        <v>44286</v>
      </c>
      <c r="F131" s="82">
        <f>RCV!$F$41</f>
        <v>-1.1019870296173156E-2</v>
      </c>
      <c r="I131" s="31">
        <v>0</v>
      </c>
      <c r="J131" s="31" t="s">
        <v>307</v>
      </c>
    </row>
    <row r="132" spans="1:10" x14ac:dyDescent="0.2">
      <c r="A132" s="31" t="s">
        <v>128</v>
      </c>
      <c r="C132" s="31">
        <v>0</v>
      </c>
      <c r="D132" s="81">
        <v>44286</v>
      </c>
      <c r="G132" s="31">
        <f>RCV!$F$47</f>
        <v>-24.511493623716056</v>
      </c>
      <c r="I132" s="31">
        <v>0</v>
      </c>
      <c r="J132" s="31" t="s">
        <v>308</v>
      </c>
    </row>
    <row r="133" spans="1:10" x14ac:dyDescent="0.2">
      <c r="A133" s="31" t="s">
        <v>129</v>
      </c>
      <c r="C133" s="31">
        <v>0</v>
      </c>
      <c r="D133" s="81">
        <v>44286</v>
      </c>
      <c r="G133" s="31">
        <f>RCV!$F$53</f>
        <v>27.343091323531901</v>
      </c>
      <c r="I133" s="31">
        <v>0</v>
      </c>
      <c r="J133" s="31" t="s">
        <v>309</v>
      </c>
    </row>
    <row r="134" spans="1:10" x14ac:dyDescent="0.2">
      <c r="A134" s="31" t="s">
        <v>130</v>
      </c>
      <c r="C134" s="31">
        <v>0</v>
      </c>
      <c r="D134" s="81">
        <v>44286</v>
      </c>
      <c r="G134" s="31">
        <f>RCV!$F$60</f>
        <v>1.8214785532985829</v>
      </c>
      <c r="I134" s="31">
        <v>0</v>
      </c>
      <c r="J134" s="31" t="s">
        <v>310</v>
      </c>
    </row>
    <row r="135" spans="1:10" x14ac:dyDescent="0.2">
      <c r="A135" s="31" t="s">
        <v>131</v>
      </c>
      <c r="C135" s="31">
        <v>0</v>
      </c>
      <c r="D135" s="81">
        <v>44286</v>
      </c>
      <c r="G135" s="31">
        <f>RCV!$F$66</f>
        <v>1.3078701100026893</v>
      </c>
      <c r="I135" s="31">
        <v>0</v>
      </c>
      <c r="J135" s="31" t="s">
        <v>311</v>
      </c>
    </row>
    <row r="136" spans="1:10" x14ac:dyDescent="0.2">
      <c r="A136" s="31" t="s">
        <v>35</v>
      </c>
      <c r="C136" s="31">
        <v>0</v>
      </c>
      <c r="D136" s="81">
        <v>44286</v>
      </c>
      <c r="G136" s="31">
        <f>RCV!$F$73</f>
        <v>12.629340622591624</v>
      </c>
      <c r="I136" s="31">
        <v>0</v>
      </c>
      <c r="J136" s="31" t="s">
        <v>312</v>
      </c>
    </row>
    <row r="137" spans="1:10" x14ac:dyDescent="0.2">
      <c r="A137" s="31" t="s">
        <v>132</v>
      </c>
      <c r="C137" s="31">
        <v>0</v>
      </c>
      <c r="D137" s="81">
        <v>44286</v>
      </c>
      <c r="G137" s="31">
        <f>RCV!$F$80</f>
        <v>-11.321470512588935</v>
      </c>
      <c r="I137" s="31">
        <v>0</v>
      </c>
      <c r="J137" s="31" t="s">
        <v>313</v>
      </c>
    </row>
    <row r="138" spans="1:10" x14ac:dyDescent="0.2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314</v>
      </c>
    </row>
    <row r="139" spans="1:10" x14ac:dyDescent="0.2">
      <c r="A139" s="31" t="s">
        <v>134</v>
      </c>
      <c r="C139" s="31">
        <v>0</v>
      </c>
      <c r="D139" s="81">
        <v>44286</v>
      </c>
      <c r="G139" s="31">
        <f>Wholesale!$F$17</f>
        <v>25.235554043006942</v>
      </c>
      <c r="I139" s="31">
        <v>0</v>
      </c>
      <c r="J139" s="31" t="s">
        <v>315</v>
      </c>
    </row>
    <row r="140" spans="1:10" x14ac:dyDescent="0.2">
      <c r="A140" s="31" t="s">
        <v>135</v>
      </c>
      <c r="C140" s="31">
        <v>0</v>
      </c>
      <c r="D140" s="81">
        <v>44286</v>
      </c>
      <c r="G140" s="31">
        <f>Wholesale!$F$24</f>
        <v>37.383751146085487</v>
      </c>
      <c r="I140" s="31">
        <v>0</v>
      </c>
      <c r="J140" s="31" t="s">
        <v>316</v>
      </c>
    </row>
    <row r="141" spans="1:10" x14ac:dyDescent="0.2">
      <c r="A141" s="31" t="s">
        <v>136</v>
      </c>
      <c r="C141" s="31">
        <v>0</v>
      </c>
      <c r="D141" s="81">
        <v>44286</v>
      </c>
      <c r="G141" s="31">
        <f>Wholesale!$F$30</f>
        <v>311.3070929831963</v>
      </c>
      <c r="I141" s="31">
        <v>0</v>
      </c>
      <c r="J141" s="31" t="s">
        <v>317</v>
      </c>
    </row>
    <row r="142" spans="1:10" x14ac:dyDescent="0.2">
      <c r="A142" s="31" t="s">
        <v>137</v>
      </c>
      <c r="C142" s="31">
        <v>0</v>
      </c>
      <c r="D142" s="81">
        <v>44286</v>
      </c>
      <c r="G142" s="31">
        <f>Wholesale!$F$38</f>
        <v>52.064574634484167</v>
      </c>
      <c r="I142" s="31">
        <v>0</v>
      </c>
      <c r="J142" s="31" t="s">
        <v>318</v>
      </c>
    </row>
    <row r="143" spans="1:10" x14ac:dyDescent="0.2">
      <c r="A143" s="31" t="s">
        <v>138</v>
      </c>
      <c r="C143" s="31">
        <v>0</v>
      </c>
      <c r="D143" s="81">
        <v>44286</v>
      </c>
      <c r="G143" s="31">
        <f>Wholesale!$F$44</f>
        <v>0.71802663151548995</v>
      </c>
      <c r="I143" s="31">
        <v>0</v>
      </c>
      <c r="J143" s="31" t="s">
        <v>319</v>
      </c>
    </row>
    <row r="144" spans="1:10" x14ac:dyDescent="0.2">
      <c r="A144" s="31" t="s">
        <v>140</v>
      </c>
      <c r="C144" s="31">
        <v>0</v>
      </c>
      <c r="D144" s="81">
        <v>44286</v>
      </c>
      <c r="G144" s="31">
        <f>Wholesale!$F$52</f>
        <v>44.127992266453859</v>
      </c>
      <c r="I144" s="31">
        <v>0</v>
      </c>
      <c r="J144" s="31" t="s">
        <v>320</v>
      </c>
    </row>
    <row r="145" spans="1:10" x14ac:dyDescent="0.2">
      <c r="A145" s="31" t="s">
        <v>141</v>
      </c>
      <c r="C145" s="31">
        <v>0</v>
      </c>
      <c r="D145" s="81">
        <v>44286</v>
      </c>
      <c r="G145" s="31">
        <f>Wholesale!$F$60</f>
        <v>16.542636893207522</v>
      </c>
      <c r="I145" s="31">
        <v>0</v>
      </c>
      <c r="J145" s="31" t="s">
        <v>321</v>
      </c>
    </row>
    <row r="146" spans="1:10" x14ac:dyDescent="0.2">
      <c r="A146" s="31" t="s">
        <v>139</v>
      </c>
      <c r="C146" s="31">
        <v>0</v>
      </c>
      <c r="D146" s="81">
        <v>44286</v>
      </c>
      <c r="G146" s="31">
        <f>Wholesale!$F$66</f>
        <v>11.878053844813667</v>
      </c>
      <c r="I146" s="31">
        <v>0</v>
      </c>
      <c r="J146" s="31" t="s">
        <v>322</v>
      </c>
    </row>
    <row r="147" spans="1:10" x14ac:dyDescent="0.2">
      <c r="A147" s="31" t="s">
        <v>142</v>
      </c>
      <c r="C147" s="31">
        <v>0</v>
      </c>
      <c r="D147" s="81">
        <v>44286</v>
      </c>
      <c r="G147" s="31">
        <f>'Wholesale reconciliation'!$F$11</f>
        <v>-2.0372520556344909</v>
      </c>
      <c r="I147" s="31">
        <v>0</v>
      </c>
      <c r="J147" s="31" t="s">
        <v>323</v>
      </c>
    </row>
    <row r="148" spans="1:10" x14ac:dyDescent="0.2">
      <c r="A148" s="31" t="s">
        <v>143</v>
      </c>
      <c r="C148" s="31">
        <v>0</v>
      </c>
      <c r="D148" s="81">
        <v>44286</v>
      </c>
      <c r="G148" s="31">
        <f>'Wholesale reconciliation'!$F$19</f>
        <v>1.3664651448863285</v>
      </c>
      <c r="I148" s="31">
        <v>0</v>
      </c>
      <c r="J148" s="31" t="s">
        <v>324</v>
      </c>
    </row>
    <row r="149" spans="1:10" x14ac:dyDescent="0.2">
      <c r="A149" s="31" t="s">
        <v>144</v>
      </c>
      <c r="C149" s="31">
        <v>0</v>
      </c>
      <c r="D149" s="81">
        <v>44286</v>
      </c>
      <c r="G149" s="31">
        <f>'Wholesale reconciliation'!$F$25</f>
        <v>0.98115836506605636</v>
      </c>
      <c r="I149" s="31">
        <v>0</v>
      </c>
      <c r="J149" s="31" t="s">
        <v>325</v>
      </c>
    </row>
    <row r="150" spans="1:10" x14ac:dyDescent="0.2">
      <c r="A150" s="31" t="s">
        <v>146</v>
      </c>
      <c r="C150" s="31">
        <v>0</v>
      </c>
      <c r="D150" s="81">
        <v>44286</v>
      </c>
      <c r="G150" s="31">
        <f>'Other wholesale items'!$F$13</f>
        <v>0</v>
      </c>
      <c r="I150" s="31">
        <v>0</v>
      </c>
      <c r="J150" s="31" t="s">
        <v>326</v>
      </c>
    </row>
    <row r="151" spans="1:10" x14ac:dyDescent="0.2">
      <c r="A151" s="31" t="s">
        <v>147</v>
      </c>
      <c r="C151" s="31">
        <v>0</v>
      </c>
      <c r="D151" s="81">
        <v>44286</v>
      </c>
      <c r="G151" s="31">
        <f>'Other wholesale items'!$F$21</f>
        <v>0</v>
      </c>
      <c r="I151" s="31">
        <v>0</v>
      </c>
      <c r="J151" s="31" t="s">
        <v>327</v>
      </c>
    </row>
    <row r="152" spans="1:10" x14ac:dyDescent="0.2">
      <c r="A152" s="31" t="s">
        <v>145</v>
      </c>
      <c r="C152" s="31">
        <v>0</v>
      </c>
      <c r="D152" s="81">
        <v>44286</v>
      </c>
      <c r="G152" s="31">
        <f>'Other wholesale items'!$F$27</f>
        <v>0</v>
      </c>
      <c r="I152" s="31">
        <v>0</v>
      </c>
      <c r="J152" s="31" t="s">
        <v>328</v>
      </c>
    </row>
    <row r="153" spans="1:10" x14ac:dyDescent="0.2">
      <c r="A153" s="31" t="s">
        <v>149</v>
      </c>
      <c r="C153" s="31">
        <v>0</v>
      </c>
      <c r="D153" s="81">
        <v>44286</v>
      </c>
      <c r="G153" s="31">
        <f>'Other wholesale items'!$F$35</f>
        <v>1.2837142933556343</v>
      </c>
      <c r="I153" s="31">
        <v>0</v>
      </c>
      <c r="J153" s="31" t="s">
        <v>329</v>
      </c>
    </row>
    <row r="154" spans="1:10" x14ac:dyDescent="0.2">
      <c r="A154" s="31" t="s">
        <v>150</v>
      </c>
      <c r="C154" s="31">
        <v>0</v>
      </c>
      <c r="D154" s="81">
        <v>44286</v>
      </c>
      <c r="G154" s="31">
        <f>'Other wholesale items'!$F$43</f>
        <v>-0.82577339784610071</v>
      </c>
      <c r="I154" s="31">
        <v>0</v>
      </c>
      <c r="J154" s="31" t="s">
        <v>330</v>
      </c>
    </row>
    <row r="155" spans="1:10" x14ac:dyDescent="0.2">
      <c r="A155" s="31" t="s">
        <v>148</v>
      </c>
      <c r="C155" s="31">
        <v>0</v>
      </c>
      <c r="D155" s="81">
        <v>44286</v>
      </c>
      <c r="G155" s="31">
        <f>'Other wholesale items'!$F$49</f>
        <v>-0.59292729125053623</v>
      </c>
      <c r="I155" s="31">
        <v>0</v>
      </c>
      <c r="J155" s="31" t="s">
        <v>331</v>
      </c>
    </row>
    <row r="156" spans="1:10" x14ac:dyDescent="0.2">
      <c r="A156" s="31" t="s">
        <v>152</v>
      </c>
      <c r="C156" s="31">
        <v>0</v>
      </c>
      <c r="D156" s="81">
        <v>44286</v>
      </c>
      <c r="G156" s="31">
        <f>'Other wholesale items'!$F$57</f>
        <v>-3.946071885408696</v>
      </c>
      <c r="I156" s="31">
        <v>0</v>
      </c>
      <c r="J156" s="31" t="s">
        <v>332</v>
      </c>
    </row>
    <row r="157" spans="1:10" x14ac:dyDescent="0.2">
      <c r="A157" s="31" t="s">
        <v>153</v>
      </c>
      <c r="C157" s="31">
        <v>0</v>
      </c>
      <c r="D157" s="81">
        <v>44286</v>
      </c>
      <c r="G157" s="31">
        <f>'Other wholesale items'!$F$65</f>
        <v>2.5383850642038239</v>
      </c>
      <c r="I157" s="31">
        <v>0</v>
      </c>
      <c r="J157" s="31" t="s">
        <v>333</v>
      </c>
    </row>
    <row r="158" spans="1:10" x14ac:dyDescent="0.2">
      <c r="A158" s="31" t="s">
        <v>151</v>
      </c>
      <c r="C158" s="31">
        <v>0</v>
      </c>
      <c r="D158" s="81">
        <v>44286</v>
      </c>
      <c r="G158" s="31">
        <f>'Other wholesale items'!$F$71</f>
        <v>1.8226280771395025</v>
      </c>
      <c r="I158" s="31">
        <v>0</v>
      </c>
      <c r="J158" s="31" t="s">
        <v>334</v>
      </c>
    </row>
    <row r="159" spans="1:10" x14ac:dyDescent="0.2">
      <c r="A159" s="31" t="s">
        <v>55</v>
      </c>
      <c r="C159" s="31">
        <v>0</v>
      </c>
      <c r="D159" s="81">
        <v>44286</v>
      </c>
      <c r="G159" s="31">
        <f>'Other wholesale items'!$F$81</f>
        <v>7.5124055492103992</v>
      </c>
      <c r="I159" s="31">
        <v>0</v>
      </c>
      <c r="J159" s="31" t="s">
        <v>335</v>
      </c>
    </row>
    <row r="160" spans="1:10" x14ac:dyDescent="0.2">
      <c r="A160" s="31" t="s">
        <v>154</v>
      </c>
      <c r="C160" s="31">
        <v>0</v>
      </c>
      <c r="D160" s="81">
        <v>44286</v>
      </c>
      <c r="G160" s="31">
        <f>'Other wholesale items'!$F$93</f>
        <v>6.2827047633214335</v>
      </c>
      <c r="I160" s="31">
        <v>0</v>
      </c>
      <c r="J160" s="31" t="s">
        <v>336</v>
      </c>
    </row>
    <row r="161" spans="1:10" x14ac:dyDescent="0.2">
      <c r="A161" s="31" t="s">
        <v>155</v>
      </c>
      <c r="C161" s="31">
        <v>0</v>
      </c>
      <c r="D161" s="81">
        <v>44286</v>
      </c>
      <c r="G161" s="31">
        <f>'Cost to serve'!$F$11</f>
        <v>1478.8559999999998</v>
      </c>
      <c r="I161" s="31">
        <v>0</v>
      </c>
      <c r="J161" s="31" t="s">
        <v>337</v>
      </c>
    </row>
    <row r="162" spans="1:10" x14ac:dyDescent="0.2">
      <c r="A162" s="31" t="s">
        <v>156</v>
      </c>
      <c r="C162" s="31">
        <v>0</v>
      </c>
      <c r="D162" s="81">
        <v>44286</v>
      </c>
      <c r="G162" s="31">
        <f>'Cost to serve'!$F$17</f>
        <v>1554.56</v>
      </c>
      <c r="I162" s="31">
        <v>0</v>
      </c>
      <c r="J162" s="31" t="s">
        <v>338</v>
      </c>
    </row>
    <row r="163" spans="1:10" x14ac:dyDescent="0.2">
      <c r="A163" s="31" t="s">
        <v>157</v>
      </c>
      <c r="C163" s="31">
        <v>0</v>
      </c>
      <c r="D163" s="81">
        <v>44286</v>
      </c>
      <c r="G163" s="31">
        <f>'Cost to serve'!$F$24</f>
        <v>20.80295545871283</v>
      </c>
      <c r="I163" s="31">
        <v>0</v>
      </c>
      <c r="J163" s="31" t="s">
        <v>339</v>
      </c>
    </row>
    <row r="164" spans="1:10" x14ac:dyDescent="0.2">
      <c r="A164" s="31" t="s">
        <v>158</v>
      </c>
      <c r="C164" s="31">
        <v>0</v>
      </c>
      <c r="D164" s="81">
        <v>44286</v>
      </c>
      <c r="G164" s="31">
        <f>'Cost to serve'!$F$31</f>
        <v>22.171891023261132</v>
      </c>
      <c r="I164" s="31">
        <v>0</v>
      </c>
      <c r="J164" s="31" t="s">
        <v>340</v>
      </c>
    </row>
    <row r="165" spans="1:10" x14ac:dyDescent="0.2">
      <c r="A165" s="31" t="s">
        <v>159</v>
      </c>
      <c r="C165" s="31">
        <v>0</v>
      </c>
      <c r="D165" s="81">
        <v>44286</v>
      </c>
      <c r="G165" s="31">
        <f>'Cost to serve'!$F$37</f>
        <v>1.3689355645483019</v>
      </c>
      <c r="I165" s="31">
        <v>0</v>
      </c>
      <c r="J165" s="31" t="s">
        <v>341</v>
      </c>
    </row>
    <row r="166" spans="1:10" x14ac:dyDescent="0.2">
      <c r="A166" s="31" t="s">
        <v>160</v>
      </c>
      <c r="C166" s="31">
        <v>0</v>
      </c>
      <c r="D166" s="81">
        <v>44286</v>
      </c>
      <c r="F166" s="82">
        <f>'Customer number impacts'!$F$11</f>
        <v>5.5264571076071313E-4</v>
      </c>
      <c r="I166" s="31">
        <v>0</v>
      </c>
      <c r="J166" s="31" t="s">
        <v>342</v>
      </c>
    </row>
    <row r="167" spans="1:10" x14ac:dyDescent="0.2">
      <c r="A167" s="31" t="s">
        <v>162</v>
      </c>
      <c r="C167" s="31">
        <v>0</v>
      </c>
      <c r="D167" s="81">
        <v>44286</v>
      </c>
      <c r="F167" s="82">
        <f>'Customer number impacts'!$F$17</f>
        <v>5.1819237401149734E-4</v>
      </c>
      <c r="I167" s="31">
        <v>0</v>
      </c>
      <c r="J167" s="31" t="s">
        <v>343</v>
      </c>
    </row>
    <row r="168" spans="1:10" x14ac:dyDescent="0.2">
      <c r="A168" s="31" t="s">
        <v>163</v>
      </c>
      <c r="C168" s="31">
        <v>0</v>
      </c>
      <c r="D168" s="81">
        <v>44286</v>
      </c>
      <c r="G168" s="31">
        <f>'Customer number impacts'!$F$25</f>
        <v>-13.517132667626846</v>
      </c>
      <c r="I168" s="31">
        <v>0</v>
      </c>
      <c r="J168" s="31" t="s">
        <v>344</v>
      </c>
    </row>
    <row r="169" spans="1:10" x14ac:dyDescent="0.2">
      <c r="A169" s="31" t="s">
        <v>164</v>
      </c>
      <c r="C169" s="31">
        <v>0</v>
      </c>
      <c r="D169" s="81">
        <v>44286</v>
      </c>
      <c r="G169" s="31">
        <f>'Breakdown by costs'!$F$13</f>
        <v>17.012133386995362</v>
      </c>
      <c r="I169" s="31">
        <v>0</v>
      </c>
      <c r="J169" s="31" t="s">
        <v>345</v>
      </c>
    </row>
    <row r="170" spans="1:10" x14ac:dyDescent="0.2">
      <c r="A170" s="31" t="s">
        <v>166</v>
      </c>
      <c r="C170" s="31">
        <v>0</v>
      </c>
      <c r="D170" s="81">
        <v>44286</v>
      </c>
      <c r="G170" s="31">
        <f>'Breakdown by costs'!$F$22</f>
        <v>85.92907404445873</v>
      </c>
      <c r="I170" s="31">
        <v>0</v>
      </c>
      <c r="J170" s="31" t="s">
        <v>346</v>
      </c>
    </row>
    <row r="171" spans="1:10" x14ac:dyDescent="0.2">
      <c r="A171" s="31" t="s">
        <v>167</v>
      </c>
      <c r="C171" s="31">
        <v>0</v>
      </c>
      <c r="D171" s="81">
        <v>44286</v>
      </c>
      <c r="G171" s="31">
        <f>'Breakdown by costs'!$F$29</f>
        <v>0</v>
      </c>
      <c r="I171" s="31">
        <v>0</v>
      </c>
      <c r="J171" s="31" t="s">
        <v>347</v>
      </c>
    </row>
    <row r="172" spans="1:10" x14ac:dyDescent="0.2">
      <c r="A172" s="31" t="s">
        <v>168</v>
      </c>
      <c r="C172" s="31">
        <v>0</v>
      </c>
      <c r="D172" s="81">
        <v>44286</v>
      </c>
      <c r="G172" s="31">
        <f>'Breakdown by costs'!$F$36</f>
        <v>0</v>
      </c>
      <c r="I172" s="31">
        <v>0</v>
      </c>
      <c r="J172" s="31" t="s">
        <v>348</v>
      </c>
    </row>
    <row r="173" spans="1:10" x14ac:dyDescent="0.2">
      <c r="A173" s="31" t="s">
        <v>169</v>
      </c>
      <c r="C173" s="31">
        <v>0</v>
      </c>
      <c r="D173" s="81">
        <v>44286</v>
      </c>
      <c r="G173" s="31">
        <f>'Breakdown by costs'!$F$43</f>
        <v>16.553387174156406</v>
      </c>
      <c r="I173" s="31">
        <v>0</v>
      </c>
      <c r="J173" s="31" t="s">
        <v>349</v>
      </c>
    </row>
    <row r="174" spans="1:10" x14ac:dyDescent="0.2">
      <c r="A174" s="31" t="s">
        <v>170</v>
      </c>
      <c r="C174" s="31">
        <v>0</v>
      </c>
      <c r="D174" s="81">
        <v>44286</v>
      </c>
      <c r="G174" s="31">
        <f>'Breakdown by costs'!$F$50</f>
        <v>4.3</v>
      </c>
      <c r="I174" s="31">
        <v>0</v>
      </c>
      <c r="J174" s="31" t="s">
        <v>350</v>
      </c>
    </row>
    <row r="175" spans="1:10" x14ac:dyDescent="0.2">
      <c r="A175" s="31" t="s">
        <v>171</v>
      </c>
      <c r="C175" s="31">
        <v>0</v>
      </c>
      <c r="D175" s="81">
        <v>44286</v>
      </c>
      <c r="G175" s="31">
        <f>'Breakdown by costs'!$F$57</f>
        <v>243.61400447785067</v>
      </c>
      <c r="I175" s="31">
        <v>0</v>
      </c>
      <c r="J175" s="31" t="s">
        <v>351</v>
      </c>
    </row>
    <row r="176" spans="1:10" x14ac:dyDescent="0.2">
      <c r="A176" s="31" t="s">
        <v>172</v>
      </c>
      <c r="C176" s="31">
        <v>0</v>
      </c>
      <c r="D176" s="81">
        <v>44286</v>
      </c>
      <c r="G176" s="31">
        <f>'Breakdown by costs'!$F$64</f>
        <v>23.113371181832719</v>
      </c>
      <c r="I176" s="31">
        <v>0</v>
      </c>
      <c r="J176" s="31" t="s">
        <v>352</v>
      </c>
    </row>
    <row r="177" spans="1:10" x14ac:dyDescent="0.2">
      <c r="A177" s="31" t="s">
        <v>173</v>
      </c>
      <c r="C177" s="31">
        <v>0</v>
      </c>
      <c r="D177" s="81">
        <v>44286</v>
      </c>
      <c r="G177" s="31">
        <f>'Breakdown by costs'!$F$71</f>
        <v>0</v>
      </c>
      <c r="I177" s="31">
        <v>0</v>
      </c>
      <c r="J177" s="31" t="s">
        <v>353</v>
      </c>
    </row>
    <row r="178" spans="1:10" x14ac:dyDescent="0.2">
      <c r="A178" s="31" t="s">
        <v>174</v>
      </c>
      <c r="C178" s="31">
        <v>0</v>
      </c>
      <c r="D178" s="81">
        <v>44286</v>
      </c>
      <c r="G178" s="31">
        <f>'Breakdown by costs'!$F$78</f>
        <v>-14.049536222613145</v>
      </c>
      <c r="I178" s="31">
        <v>0</v>
      </c>
      <c r="J178" s="31" t="s">
        <v>354</v>
      </c>
    </row>
    <row r="179" spans="1:10" x14ac:dyDescent="0.2">
      <c r="A179" s="31" t="s">
        <v>175</v>
      </c>
      <c r="C179" s="31">
        <v>0</v>
      </c>
      <c r="D179" s="81">
        <v>44286</v>
      </c>
      <c r="G179" s="31">
        <f>'Breakdown by costs'!$F$91</f>
        <v>359.46030065568539</v>
      </c>
      <c r="I179" s="31">
        <v>0</v>
      </c>
      <c r="J179" s="31" t="s">
        <v>355</v>
      </c>
    </row>
    <row r="180" spans="1:10" x14ac:dyDescent="0.2">
      <c r="A180" s="31" t="s">
        <v>177</v>
      </c>
      <c r="C180" s="31">
        <v>0</v>
      </c>
      <c r="D180" s="81">
        <v>44286</v>
      </c>
      <c r="G180" s="31">
        <f>'Breakdown by costs'!$F$99</f>
        <v>0.23905024807389572</v>
      </c>
      <c r="I180" s="31">
        <v>0</v>
      </c>
      <c r="J180" s="31" t="s">
        <v>356</v>
      </c>
    </row>
    <row r="181" spans="1:10" x14ac:dyDescent="0.2">
      <c r="A181" s="31" t="s">
        <v>178</v>
      </c>
      <c r="C181" s="31">
        <v>0</v>
      </c>
      <c r="D181" s="81">
        <v>44286</v>
      </c>
      <c r="G181" s="31">
        <f>'Breakdown by costs'!$F$105</f>
        <v>0</v>
      </c>
      <c r="I181" s="31">
        <v>0</v>
      </c>
      <c r="J181" s="31" t="s">
        <v>357</v>
      </c>
    </row>
    <row r="182" spans="1:10" x14ac:dyDescent="0.2">
      <c r="A182" s="31" t="s">
        <v>179</v>
      </c>
      <c r="C182" s="31">
        <v>0</v>
      </c>
      <c r="D182" s="81">
        <v>44286</v>
      </c>
      <c r="G182" s="31">
        <f>'Breakdown by costs'!$F$111</f>
        <v>0</v>
      </c>
      <c r="I182" s="31">
        <v>0</v>
      </c>
      <c r="J182" s="31" t="s">
        <v>358</v>
      </c>
    </row>
    <row r="183" spans="1:10" x14ac:dyDescent="0.2">
      <c r="A183" s="31" t="s">
        <v>180</v>
      </c>
      <c r="C183" s="31">
        <v>0</v>
      </c>
      <c r="D183" s="81">
        <v>44286</v>
      </c>
      <c r="G183" s="31">
        <f>'Breakdown by costs'!$F$117</f>
        <v>4.605066858276604E-2</v>
      </c>
      <c r="I183" s="31">
        <v>0</v>
      </c>
      <c r="J183" s="31" t="s">
        <v>359</v>
      </c>
    </row>
    <row r="184" spans="1:10" x14ac:dyDescent="0.2">
      <c r="A184" s="31" t="s">
        <v>181</v>
      </c>
      <c r="C184" s="31">
        <v>0</v>
      </c>
      <c r="D184" s="81">
        <v>44286</v>
      </c>
      <c r="G184" s="31">
        <f>'Breakdown by costs'!$F$123</f>
        <v>1.1962378021039997E-2</v>
      </c>
      <c r="I184" s="31">
        <v>0</v>
      </c>
      <c r="J184" s="31" t="s">
        <v>360</v>
      </c>
    </row>
    <row r="185" spans="1:10" x14ac:dyDescent="0.2">
      <c r="A185" s="31" t="s">
        <v>182</v>
      </c>
      <c r="C185" s="31">
        <v>0</v>
      </c>
      <c r="D185" s="81">
        <v>44286</v>
      </c>
      <c r="G185" s="31">
        <f>'Breakdown by costs'!$F$129</f>
        <v>0.67772158436822794</v>
      </c>
      <c r="I185" s="31">
        <v>0</v>
      </c>
      <c r="J185" s="31" t="s">
        <v>361</v>
      </c>
    </row>
    <row r="186" spans="1:10" x14ac:dyDescent="0.2">
      <c r="A186" s="31" t="s">
        <v>183</v>
      </c>
      <c r="C186" s="31">
        <v>0</v>
      </c>
      <c r="D186" s="81">
        <v>44286</v>
      </c>
      <c r="G186" s="31">
        <f>'Breakdown by costs'!$F$135</f>
        <v>6.4300205445975575E-2</v>
      </c>
      <c r="I186" s="31">
        <v>0</v>
      </c>
      <c r="J186" s="31" t="s">
        <v>362</v>
      </c>
    </row>
    <row r="187" spans="1:10" x14ac:dyDescent="0.2">
      <c r="A187" s="31" t="s">
        <v>184</v>
      </c>
      <c r="C187" s="31">
        <v>0</v>
      </c>
      <c r="D187" s="81">
        <v>44286</v>
      </c>
      <c r="G187" s="31">
        <f>'Breakdown by costs'!$F$141</f>
        <v>0</v>
      </c>
      <c r="I187" s="31">
        <v>0</v>
      </c>
      <c r="J187" s="31" t="s">
        <v>363</v>
      </c>
    </row>
    <row r="188" spans="1:10" x14ac:dyDescent="0.2">
      <c r="A188" s="31" t="s">
        <v>185</v>
      </c>
      <c r="C188" s="31">
        <v>0</v>
      </c>
      <c r="D188" s="81">
        <v>44286</v>
      </c>
      <c r="G188" s="31">
        <f>'Breakdown by costs'!$F$147</f>
        <v>-3.90850844919053E-2</v>
      </c>
      <c r="I188" s="31">
        <v>0</v>
      </c>
      <c r="J188" s="31" t="s">
        <v>364</v>
      </c>
    </row>
    <row r="189" spans="1:10" x14ac:dyDescent="0.2">
      <c r="A189" s="31" t="s">
        <v>187</v>
      </c>
      <c r="C189" s="31">
        <v>0</v>
      </c>
      <c r="D189" s="81">
        <v>44286</v>
      </c>
      <c r="G189" s="31">
        <f>'Breakdown by costs'!$F$155</f>
        <v>4.066754706427445</v>
      </c>
      <c r="I189" s="31">
        <v>0</v>
      </c>
      <c r="J189" s="31" t="s">
        <v>365</v>
      </c>
    </row>
    <row r="190" spans="1:10" x14ac:dyDescent="0.2">
      <c r="A190" s="31" t="s">
        <v>188</v>
      </c>
      <c r="C190" s="31">
        <v>0</v>
      </c>
      <c r="D190" s="81">
        <v>44286</v>
      </c>
      <c r="G190" s="31">
        <f>'Breakdown by costs'!$F$161</f>
        <v>0</v>
      </c>
      <c r="I190" s="31">
        <v>0</v>
      </c>
      <c r="J190" s="31" t="s">
        <v>366</v>
      </c>
    </row>
    <row r="191" spans="1:10" x14ac:dyDescent="0.2">
      <c r="A191" s="31" t="s">
        <v>189</v>
      </c>
      <c r="C191" s="31">
        <v>0</v>
      </c>
      <c r="D191" s="81">
        <v>44286</v>
      </c>
      <c r="G191" s="31">
        <f>'Breakdown by costs'!$F$167</f>
        <v>0</v>
      </c>
      <c r="I191" s="31">
        <v>0</v>
      </c>
      <c r="J191" s="31" t="s">
        <v>367</v>
      </c>
    </row>
    <row r="192" spans="1:10" x14ac:dyDescent="0.2">
      <c r="A192" s="31" t="s">
        <v>190</v>
      </c>
      <c r="C192" s="31">
        <v>0</v>
      </c>
      <c r="D192" s="81">
        <v>44286</v>
      </c>
      <c r="G192" s="31">
        <f>'Breakdown by costs'!$F$173</f>
        <v>0.7834201164903325</v>
      </c>
      <c r="I192" s="31">
        <v>0</v>
      </c>
      <c r="J192" s="31" t="s">
        <v>368</v>
      </c>
    </row>
    <row r="193" spans="1:10" x14ac:dyDescent="0.2">
      <c r="A193" s="31" t="s">
        <v>191</v>
      </c>
      <c r="C193" s="31">
        <v>0</v>
      </c>
      <c r="D193" s="81">
        <v>44286</v>
      </c>
      <c r="G193" s="31">
        <f>'Breakdown by costs'!$F$179</f>
        <v>0.20350557051959406</v>
      </c>
      <c r="I193" s="31">
        <v>0</v>
      </c>
      <c r="J193" s="31" t="s">
        <v>369</v>
      </c>
    </row>
    <row r="194" spans="1:10" x14ac:dyDescent="0.2">
      <c r="A194" s="31" t="s">
        <v>192</v>
      </c>
      <c r="C194" s="31">
        <v>0</v>
      </c>
      <c r="D194" s="81">
        <v>44286</v>
      </c>
      <c r="G194" s="31">
        <f>'Breakdown by costs'!$F$185</f>
        <v>11.529489992518124</v>
      </c>
      <c r="I194" s="31">
        <v>0</v>
      </c>
      <c r="J194" s="31" t="s">
        <v>370</v>
      </c>
    </row>
    <row r="195" spans="1:10" x14ac:dyDescent="0.2">
      <c r="A195" s="31" t="s">
        <v>193</v>
      </c>
      <c r="C195" s="31">
        <v>0</v>
      </c>
      <c r="D195" s="81">
        <v>44286</v>
      </c>
      <c r="G195" s="31">
        <f>'Breakdown by costs'!$F$191</f>
        <v>1.0938836718581422</v>
      </c>
      <c r="I195" s="31">
        <v>0</v>
      </c>
      <c r="J195" s="31" t="s">
        <v>371</v>
      </c>
    </row>
    <row r="196" spans="1:10" x14ac:dyDescent="0.2">
      <c r="A196" s="31" t="s">
        <v>194</v>
      </c>
      <c r="C196" s="31">
        <v>0</v>
      </c>
      <c r="D196" s="81">
        <v>44286</v>
      </c>
      <c r="G196" s="31">
        <f>'Breakdown by costs'!$F$197</f>
        <v>0</v>
      </c>
      <c r="I196" s="31">
        <v>0</v>
      </c>
      <c r="J196" s="31" t="s">
        <v>372</v>
      </c>
    </row>
    <row r="197" spans="1:10" x14ac:dyDescent="0.2">
      <c r="A197" s="31" t="s">
        <v>195</v>
      </c>
      <c r="C197" s="31">
        <v>0</v>
      </c>
      <c r="D197" s="81">
        <v>44286</v>
      </c>
      <c r="G197" s="31">
        <f>'Breakdown by costs'!$F$203</f>
        <v>-0.66492067081827688</v>
      </c>
      <c r="I197" s="31">
        <v>0</v>
      </c>
      <c r="J197" s="31" t="s">
        <v>373</v>
      </c>
    </row>
  </sheetData>
  <pageMargins left="0.7" right="0.7" top="0.75" bottom="0.75" header="0.3" footer="0.3"/>
  <customProperties>
    <customPr name="MMSheetTyp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tabSelected="1" workbookViewId="0">
      <selection activeCell="H11" sqref="H11"/>
    </sheetView>
  </sheetViews>
  <sheetFormatPr defaultColWidth="0" defaultRowHeight="13.5" customHeight="1" zeroHeight="1" x14ac:dyDescent="0.2"/>
  <cols>
    <col min="1" max="1" width="12.77734375" style="40" bestFit="1" customWidth="1"/>
    <col min="2" max="2" width="83.77734375" style="40" bestFit="1" customWidth="1"/>
    <col min="3" max="3" width="17" style="40" customWidth="1"/>
    <col min="4" max="10" width="11.6640625" style="40" customWidth="1"/>
    <col min="11" max="14" width="11.6640625" style="40" hidden="1" customWidth="1"/>
    <col min="15" max="16384" width="11.6640625" style="40" hidden="1"/>
  </cols>
  <sheetData>
    <row r="1" spans="1:10" ht="31" x14ac:dyDescent="0.2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3" x14ac:dyDescent="0.2"/>
    <row r="3" spans="1:10" s="65" customFormat="1" ht="23.5" x14ac:dyDescent="0.2">
      <c r="B3" s="61" t="s">
        <v>2</v>
      </c>
    </row>
    <row r="4" spans="1:10" ht="13" x14ac:dyDescent="0.2"/>
    <row r="5" spans="1:10" ht="13" x14ac:dyDescent="0.2">
      <c r="B5" s="40" t="s">
        <v>3</v>
      </c>
      <c r="C5" s="59">
        <v>1</v>
      </c>
    </row>
    <row r="6" spans="1:10" ht="13" x14ac:dyDescent="0.2">
      <c r="B6" s="40" t="s">
        <v>4</v>
      </c>
      <c r="C6" s="59" t="s">
        <v>5</v>
      </c>
    </row>
    <row r="7" spans="1:10" ht="13" x14ac:dyDescent="0.2">
      <c r="B7" s="40" t="s">
        <v>6</v>
      </c>
      <c r="C7" s="60" t="str">
        <f ca="1" xml:space="preserve"> MID(CELL("filename"), FIND("[", CELL("filename"), 1) + 1, FIND("]", CELL("filename"), 1) - FIND("[", CELL("filename"), 1) - 1)</f>
        <v>AFW65 - Waterfall model.xlsx</v>
      </c>
    </row>
    <row r="8" spans="1:10" ht="13" x14ac:dyDescent="0.2">
      <c r="B8" s="40" t="s">
        <v>7</v>
      </c>
      <c r="C8" s="104">
        <v>45121</v>
      </c>
    </row>
    <row r="9" spans="1:10" ht="13" x14ac:dyDescent="0.2"/>
    <row r="10" spans="1:10" ht="13" x14ac:dyDescent="0.2">
      <c r="B10" s="40" t="s">
        <v>8</v>
      </c>
      <c r="C10" s="57" t="s">
        <v>9</v>
      </c>
    </row>
    <row r="11" spans="1:10" ht="13" x14ac:dyDescent="0.2"/>
    <row r="12" spans="1:10" ht="13" x14ac:dyDescent="0.2"/>
    <row r="13" spans="1:10" ht="13" x14ac:dyDescent="0.2"/>
    <row r="14" spans="1:10" ht="13" x14ac:dyDescent="0.2"/>
    <row r="15" spans="1:10" ht="13" x14ac:dyDescent="0.2"/>
    <row r="16" spans="1:10" ht="13" x14ac:dyDescent="0.2"/>
    <row r="17" ht="13" x14ac:dyDescent="0.2"/>
    <row r="18" ht="13" x14ac:dyDescent="0.2"/>
    <row r="19" ht="13" x14ac:dyDescent="0.2"/>
    <row r="20" ht="13" x14ac:dyDescent="0.2"/>
    <row r="21" ht="13" x14ac:dyDescent="0.2"/>
    <row r="22" ht="13" x14ac:dyDescent="0.2"/>
    <row r="23" ht="13" x14ac:dyDescent="0.2"/>
    <row r="24" ht="13" x14ac:dyDescent="0.2"/>
    <row r="25" ht="13" x14ac:dyDescent="0.2"/>
    <row r="26" ht="13" x14ac:dyDescent="0.2"/>
    <row r="27" ht="13" x14ac:dyDescent="0.2"/>
    <row r="28" ht="13" x14ac:dyDescent="0.2"/>
    <row r="29" ht="13" x14ac:dyDescent="0.2"/>
    <row r="30" ht="13" x14ac:dyDescent="0.2"/>
    <row r="31" ht="13" x14ac:dyDescent="0.2"/>
    <row r="32" ht="13" x14ac:dyDescent="0.2"/>
    <row r="33" ht="13" x14ac:dyDescent="0.2"/>
    <row r="34" ht="13" x14ac:dyDescent="0.2"/>
    <row r="35" ht="13" x14ac:dyDescent="0.2"/>
    <row r="36" ht="13" x14ac:dyDescent="0.2"/>
    <row r="37" ht="13" x14ac:dyDescent="0.2"/>
    <row r="38" ht="13.5" customHeight="1" x14ac:dyDescent="0.2"/>
    <row r="39" ht="13.5" customHeight="1" x14ac:dyDescent="0.2"/>
    <row r="40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70" ht="13.5" customHeight="1" x14ac:dyDescent="0.2"/>
    <row r="71" ht="13.5" customHeight="1" x14ac:dyDescent="0.2"/>
  </sheetData>
  <hyperlinks>
    <hyperlink ref="C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47"/>
  <sheetViews>
    <sheetView showGridLines="0" topLeftCell="A9" workbookViewId="0">
      <selection activeCell="B30" sqref="B30"/>
    </sheetView>
  </sheetViews>
  <sheetFormatPr defaultColWidth="0" defaultRowHeight="13" x14ac:dyDescent="0.2"/>
  <cols>
    <col min="1" max="1" width="36.77734375" style="70" customWidth="1"/>
    <col min="2" max="2" width="28.109375" style="70" customWidth="1"/>
    <col min="3" max="3" width="23.109375" style="70" customWidth="1"/>
    <col min="4" max="4" width="9.33203125" style="70" customWidth="1"/>
    <col min="5" max="26" width="9.33203125" style="70" hidden="1" customWidth="1"/>
    <col min="27" max="55" width="9.109375" style="70" hidden="1" customWidth="1"/>
    <col min="56" max="56" width="9.33203125" style="70" hidden="1" customWidth="1"/>
    <col min="57" max="16384" width="9.33203125" style="70" hidden="1"/>
  </cols>
  <sheetData>
    <row r="1" spans="1:101" s="67" customFormat="1" ht="19.5" x14ac:dyDescent="0.2">
      <c r="A1" s="30" t="str">
        <f ca="1" xml:space="preserve"> RIGHT(CELL("filename", A1), LEN(CELL("filename", A1)) - SEARCH("]", CELL("filename", A1)))</f>
        <v>Contents</v>
      </c>
    </row>
    <row r="2" spans="1:101" s="31" customFormat="1" ht="10.5" x14ac:dyDescent="0.2"/>
    <row r="3" spans="1:101" s="31" customFormat="1" ht="10.5" x14ac:dyDescent="0.2"/>
    <row r="4" spans="1:101" s="31" customFormat="1" ht="10.5" x14ac:dyDescent="0.2"/>
    <row r="5" spans="1:101" s="31" customFormat="1" ht="18.5" x14ac:dyDescent="0.2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5" x14ac:dyDescent="0.2">
      <c r="A6" s="68" t="str">
        <f>HYPERLINK("#TOCrepobxTotal_bill_impacts_Year","1.Total bill impacts")</f>
        <v>1.Total bill impacts</v>
      </c>
      <c r="B6" s="62"/>
      <c r="C6" s="58"/>
    </row>
    <row r="9" spans="1:101" ht="18.5" x14ac:dyDescent="0.2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2">
      <c r="A11" s="70" t="str">
        <f>HYPERLINK("#TOCobxInputs", "1.Inputs")</f>
        <v>1.Inputs</v>
      </c>
    </row>
    <row r="12" spans="1:101" x14ac:dyDescent="0.2">
      <c r="B12" s="70" t="str">
        <f>HYPERLINK("#TOCobxInputs.Totex", "1.1.Totex")</f>
        <v>1.1.Totex</v>
      </c>
    </row>
    <row r="13" spans="1:101" x14ac:dyDescent="0.2">
      <c r="B13" s="70" t="str">
        <f>HYPERLINK("#TOCobxInputs.RCV", "1.2.RCV")</f>
        <v>1.2.RCV</v>
      </c>
    </row>
    <row r="14" spans="1:101" x14ac:dyDescent="0.2">
      <c r="B14" s="70" t="str">
        <f>HYPERLINK("#TOCobxInputs.Wholesale", "1.3.Wholesale")</f>
        <v>1.3.Wholesale</v>
      </c>
    </row>
    <row r="15" spans="1:101" x14ac:dyDescent="0.2">
      <c r="B15" s="70" t="str">
        <f>HYPERLINK("#TOCobxInputs.Wholesale_reconciliation", "1.4.Wholesale reconciliation")</f>
        <v>1.4.Wholesale reconciliation</v>
      </c>
    </row>
    <row r="16" spans="1:101" x14ac:dyDescent="0.2">
      <c r="B16" s="70" t="str">
        <f>HYPERLINK("#TOCobxInputs.Other_wholesale_items", "1.5.Other wholesale items")</f>
        <v>1.5.Other wholesale items</v>
      </c>
    </row>
    <row r="17" spans="1:2" x14ac:dyDescent="0.2">
      <c r="B17" s="70" t="str">
        <f>HYPERLINK("#TOCobxInputs.Housing", "1.6.Housing")</f>
        <v>1.6.Housing</v>
      </c>
    </row>
    <row r="18" spans="1:2" x14ac:dyDescent="0.2">
      <c r="B18" s="70" t="str">
        <f>HYPERLINK("#TOCobxInputs.Cost_to_serve", "1.7.Cost to serve")</f>
        <v>1.7.Cost to serve</v>
      </c>
    </row>
    <row r="19" spans="1:2" x14ac:dyDescent="0.2">
      <c r="B19" s="70" t="str">
        <f>HYPERLINK("#TOCobxInputs.Costs_breakdown", "1.8.Costs breakdown")</f>
        <v>1.8.Costs breakdown</v>
      </c>
    </row>
    <row r="20" spans="1:2" x14ac:dyDescent="0.2">
      <c r="B20" s="70" t="str">
        <f>HYPERLINK("#TOCobxInputs.Model_Constants", "1.9.Model Constants")</f>
        <v>1.9.Model Constants</v>
      </c>
    </row>
    <row r="22" spans="1:2" x14ac:dyDescent="0.2">
      <c r="A22" s="70" t="str">
        <f>HYPERLINK("#TOCobxTime", "2.Time")</f>
        <v>2.Time</v>
      </c>
    </row>
    <row r="23" spans="1:2" x14ac:dyDescent="0.2">
      <c r="B23" s="70" t="str">
        <f>HYPERLINK("#TOCobxTime.Headers", "2.1.Headers")</f>
        <v>2.1.Headers</v>
      </c>
    </row>
    <row r="25" spans="1:2" x14ac:dyDescent="0.2">
      <c r="A25" s="70" t="str">
        <f>HYPERLINK("#TOCobxTotex", "3.Totex")</f>
        <v>3.Totex</v>
      </c>
    </row>
    <row r="27" spans="1:2" x14ac:dyDescent="0.2">
      <c r="A27" s="70" t="str">
        <f>HYPERLINK("#TOCobxRCV", "4.RCV")</f>
        <v>4.RCV</v>
      </c>
    </row>
    <row r="29" spans="1:2" x14ac:dyDescent="0.2">
      <c r="A29" s="70" t="str">
        <f>HYPERLINK("#TOCobxWholesale", "5.Wholesale")</f>
        <v>5.Wholesale</v>
      </c>
    </row>
    <row r="30" spans="1:2" x14ac:dyDescent="0.2">
      <c r="B30" s="70" t="str">
        <f>HYPERLINK("#TOCobxWholesale.WACC", "5.1.WACC")</f>
        <v>5.1.WACC</v>
      </c>
    </row>
    <row r="32" spans="1:2" x14ac:dyDescent="0.2">
      <c r="A32" s="70" t="str">
        <f>HYPERLINK("#TOCobxWholesale_reconciliation", "6.Wholesale reconciliation")</f>
        <v>6.Wholesale reconciliation</v>
      </c>
    </row>
    <row r="34" spans="1:2" x14ac:dyDescent="0.2">
      <c r="A34" s="70" t="str">
        <f>HYPERLINK("#TOCobxOther_wholesale_items", "7.Other wholesale items")</f>
        <v>7.Other wholesale items</v>
      </c>
    </row>
    <row r="35" spans="1:2" x14ac:dyDescent="0.2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2">
      <c r="B36" s="70" t="str">
        <f>HYPERLINK("#TOCobxOther_wholesale_items.Tax", "7.2.Tax")</f>
        <v>7.2.Tax</v>
      </c>
    </row>
    <row r="37" spans="1:2" x14ac:dyDescent="0.2">
      <c r="B37" s="70" t="str">
        <f>HYPERLINK("#TOCobxOther_wholesale_items.Revenue_profiling", "7.3.Revenue profiling")</f>
        <v>7.3.Revenue profiling</v>
      </c>
    </row>
    <row r="38" spans="1:2" x14ac:dyDescent="0.2">
      <c r="B38" s="70" t="str">
        <f>HYPERLINK("#TOCobxOther_wholesale_items.Other", "7.4.Other")</f>
        <v>7.4.Other</v>
      </c>
    </row>
    <row r="40" spans="1:2" x14ac:dyDescent="0.2">
      <c r="A40" s="70" t="str">
        <f>HYPERLINK("#TOCobxCost_to_serve", "8.Cost to serve")</f>
        <v>8.Cost to serve</v>
      </c>
    </row>
    <row r="42" spans="1:2" x14ac:dyDescent="0.2">
      <c r="A42" s="70" t="str">
        <f>HYPERLINK("#TOCobxCustomer_number_impacts", "9.Customer number impacts")</f>
        <v>9.Customer number impacts</v>
      </c>
    </row>
    <row r="44" spans="1:2" x14ac:dyDescent="0.2">
      <c r="A44" s="70" t="str">
        <f>HYPERLINK("#TOCobxBreakdown_by_costs", "10.Breakdown by costs")</f>
        <v>10.Breakdown by costs</v>
      </c>
    </row>
    <row r="45" spans="1:2" x14ac:dyDescent="0.2">
      <c r="B45" s="70" t="str">
        <f>HYPERLINK("#TOCobxBreakdown_by_costs.Cost_deltas", "10.1.Cost deltas")</f>
        <v>10.1.Cost deltas</v>
      </c>
    </row>
    <row r="46" spans="1:2" x14ac:dyDescent="0.2">
      <c r="B46" s="70" t="str">
        <f>HYPERLINK("#TOCobxBreakdown_by_costs.Cost_proportions", "10.2.Cost proportions")</f>
        <v>10.2.Cost proportions</v>
      </c>
    </row>
    <row r="47" spans="1:2" x14ac:dyDescent="0.2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B8E"/>
    <outlinePr summaryBelow="0" summaryRight="0"/>
    <pageSetUpPr fitToPage="1"/>
  </sheetPr>
  <dimension ref="A1:S96"/>
  <sheetViews>
    <sheetView showGridLines="0" zoomScale="85" zoomScaleNormal="85" workbookViewId="0">
      <pane xSplit="9" ySplit="5" topLeftCell="J6" activePane="bottomRight" state="frozen"/>
      <selection pane="topRight"/>
      <selection pane="bottomLeft"/>
      <selection pane="bottomRight" activeCell="F43" sqref="F43"/>
    </sheetView>
  </sheetViews>
  <sheetFormatPr defaultColWidth="0" defaultRowHeight="13" outlineLevelRow="1" x14ac:dyDescent="0.2"/>
  <cols>
    <col min="1" max="4" width="1.44140625" style="70" customWidth="1"/>
    <col min="5" max="5" width="52.77734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2">
      <c r="A3" s="13"/>
      <c r="B3" s="13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2">
      <c r="A4" s="13"/>
      <c r="B4" s="13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2">
      <c r="A5" s="13"/>
      <c r="B5" s="13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2">
      <c r="A6" s="7"/>
      <c r="B6" s="7"/>
      <c r="C6" s="24"/>
      <c r="D6" s="45"/>
    </row>
    <row r="8" spans="1:19" x14ac:dyDescent="0.2">
      <c r="A8" s="69" t="s">
        <v>23</v>
      </c>
    </row>
    <row r="10" spans="1:19" x14ac:dyDescent="0.2">
      <c r="E10" s="96" t="s">
        <v>24</v>
      </c>
      <c r="F10" s="97">
        <v>43922</v>
      </c>
      <c r="G10" s="70" t="s">
        <v>25</v>
      </c>
    </row>
    <row r="11" spans="1:19" x14ac:dyDescent="0.2">
      <c r="E11" s="70" t="s">
        <v>26</v>
      </c>
      <c r="F11" s="98">
        <v>3</v>
      </c>
    </row>
    <row r="13" spans="1:19" x14ac:dyDescent="0.2">
      <c r="A13" s="69" t="s">
        <v>27</v>
      </c>
    </row>
    <row r="14" spans="1:19" outlineLevel="1" x14ac:dyDescent="0.2"/>
    <row r="15" spans="1:19" outlineLevel="1" x14ac:dyDescent="0.2">
      <c r="E15" s="86" t="s">
        <v>28</v>
      </c>
      <c r="F15" s="99">
        <v>241.50996182396747</v>
      </c>
      <c r="G15" s="70" t="s">
        <v>29</v>
      </c>
    </row>
    <row r="16" spans="1:19" outlineLevel="1" x14ac:dyDescent="0.2">
      <c r="E16" s="86" t="s">
        <v>30</v>
      </c>
      <c r="F16" s="99">
        <v>363.654</v>
      </c>
      <c r="G16" s="70" t="s">
        <v>29</v>
      </c>
    </row>
    <row r="17" spans="1:7" outlineLevel="1" x14ac:dyDescent="0.2">
      <c r="E17" s="86" t="s">
        <v>31</v>
      </c>
      <c r="F17" s="99">
        <v>152.34922073571767</v>
      </c>
      <c r="G17" s="70" t="s">
        <v>29</v>
      </c>
    </row>
    <row r="18" spans="1:7" outlineLevel="1" x14ac:dyDescent="0.2">
      <c r="E18" s="86" t="s">
        <v>32</v>
      </c>
      <c r="F18" s="99">
        <v>213.869</v>
      </c>
      <c r="G18" s="70" t="s">
        <v>29</v>
      </c>
    </row>
    <row r="19" spans="1:7" outlineLevel="1" x14ac:dyDescent="0.2">
      <c r="E19" s="86" t="s">
        <v>33</v>
      </c>
      <c r="F19" s="99">
        <f>F34/1</f>
        <v>263.67805654235377</v>
      </c>
      <c r="G19" s="70" t="s">
        <v>29</v>
      </c>
    </row>
    <row r="20" spans="1:7" outlineLevel="1" x14ac:dyDescent="0.2">
      <c r="E20" s="86" t="s">
        <v>34</v>
      </c>
      <c r="F20" s="99">
        <f>F35/1</f>
        <v>392.24459812698001</v>
      </c>
      <c r="G20" s="70" t="s">
        <v>29</v>
      </c>
    </row>
    <row r="22" spans="1:7" x14ac:dyDescent="0.2">
      <c r="A22" s="69" t="s">
        <v>35</v>
      </c>
    </row>
    <row r="23" spans="1:7" outlineLevel="1" x14ac:dyDescent="0.2"/>
    <row r="24" spans="1:7" outlineLevel="1" x14ac:dyDescent="0.2">
      <c r="E24" s="86" t="s">
        <v>36</v>
      </c>
      <c r="F24" s="99">
        <v>78.329559960676136</v>
      </c>
      <c r="G24" s="70" t="s">
        <v>29</v>
      </c>
    </row>
    <row r="25" spans="1:7" outlineLevel="1" x14ac:dyDescent="0.2">
      <c r="E25" s="86" t="s">
        <v>37</v>
      </c>
      <c r="F25" s="99">
        <v>95.310084251821522</v>
      </c>
      <c r="G25" s="70" t="s">
        <v>29</v>
      </c>
    </row>
    <row r="26" spans="1:7" outlineLevel="1" x14ac:dyDescent="0.2">
      <c r="E26" s="86" t="s">
        <v>38</v>
      </c>
      <c r="F26" s="99">
        <v>1454.0654175856976</v>
      </c>
      <c r="G26" s="70" t="s">
        <v>29</v>
      </c>
    </row>
    <row r="27" spans="1:7" outlineLevel="1" x14ac:dyDescent="0.2">
      <c r="E27" s="86" t="s">
        <v>39</v>
      </c>
      <c r="F27" s="99">
        <v>2224.2996482661056</v>
      </c>
      <c r="G27" s="70" t="s">
        <v>29</v>
      </c>
    </row>
    <row r="29" spans="1:7" x14ac:dyDescent="0.2">
      <c r="A29" s="69" t="s">
        <v>40</v>
      </c>
    </row>
    <row r="30" spans="1:7" outlineLevel="1" x14ac:dyDescent="0.2"/>
    <row r="31" spans="1:7" outlineLevel="1" x14ac:dyDescent="0.2">
      <c r="E31" s="100" t="s">
        <v>41</v>
      </c>
      <c r="F31" s="101">
        <v>104.21666666666665</v>
      </c>
      <c r="G31" s="70" t="s">
        <v>42</v>
      </c>
    </row>
    <row r="32" spans="1:7" outlineLevel="1" x14ac:dyDescent="0.2">
      <c r="E32" s="100" t="s">
        <v>43</v>
      </c>
      <c r="F32" s="101">
        <v>123.04166666666664</v>
      </c>
      <c r="G32" s="70" t="s">
        <v>42</v>
      </c>
    </row>
    <row r="33" spans="1:7" outlineLevel="1" x14ac:dyDescent="0.2">
      <c r="E33" s="86" t="s">
        <v>44</v>
      </c>
      <c r="F33" s="99">
        <v>392.33159812698005</v>
      </c>
      <c r="G33" s="70" t="s">
        <v>29</v>
      </c>
    </row>
    <row r="34" spans="1:7" outlineLevel="1" x14ac:dyDescent="0.2">
      <c r="E34" s="86" t="s">
        <v>45</v>
      </c>
      <c r="F34" s="99">
        <v>263.67805654235377</v>
      </c>
      <c r="G34" s="70" t="s">
        <v>29</v>
      </c>
    </row>
    <row r="35" spans="1:7" outlineLevel="1" x14ac:dyDescent="0.2">
      <c r="E35" s="86" t="s">
        <v>46</v>
      </c>
      <c r="F35" s="99">
        <v>392.24459812698001</v>
      </c>
      <c r="G35" s="70" t="s">
        <v>29</v>
      </c>
    </row>
    <row r="36" spans="1:7" outlineLevel="1" x14ac:dyDescent="0.2">
      <c r="E36" s="86" t="s">
        <v>47</v>
      </c>
      <c r="F36" s="99">
        <v>37.376543940688926</v>
      </c>
      <c r="G36" s="70" t="s">
        <v>29</v>
      </c>
    </row>
    <row r="37" spans="1:7" outlineLevel="1" x14ac:dyDescent="0.2">
      <c r="E37" s="86" t="s">
        <v>48</v>
      </c>
      <c r="F37" s="99">
        <v>69.84451387515854</v>
      </c>
      <c r="G37" s="70" t="s">
        <v>29</v>
      </c>
    </row>
    <row r="38" spans="1:7" outlineLevel="1" x14ac:dyDescent="0.2">
      <c r="E38" s="86" t="s">
        <v>49</v>
      </c>
      <c r="F38" s="99">
        <v>191.71960651497787</v>
      </c>
      <c r="G38" s="70" t="s">
        <v>50</v>
      </c>
    </row>
    <row r="39" spans="1:7" outlineLevel="1" x14ac:dyDescent="0.2">
      <c r="E39" s="86" t="s">
        <v>51</v>
      </c>
      <c r="F39" s="99">
        <v>216.95516055798481</v>
      </c>
      <c r="G39" s="70" t="s">
        <v>50</v>
      </c>
    </row>
    <row r="41" spans="1:7" x14ac:dyDescent="0.2">
      <c r="A41" s="69" t="s">
        <v>52</v>
      </c>
    </row>
    <row r="42" spans="1:7" outlineLevel="1" x14ac:dyDescent="0.2"/>
    <row r="43" spans="1:7" outlineLevel="1" x14ac:dyDescent="0.2">
      <c r="E43" s="86" t="s">
        <v>53</v>
      </c>
      <c r="F43" s="99">
        <v>-1.7255587001533996</v>
      </c>
      <c r="G43" s="70" t="s">
        <v>29</v>
      </c>
    </row>
    <row r="44" spans="1:7" outlineLevel="1" x14ac:dyDescent="0.2">
      <c r="E44" s="86" t="s">
        <v>54</v>
      </c>
      <c r="F44" s="99">
        <v>8.6999999999999744E-2</v>
      </c>
      <c r="G44" s="70" t="s">
        <v>29</v>
      </c>
    </row>
    <row r="46" spans="1:7" x14ac:dyDescent="0.2">
      <c r="A46" s="69" t="s">
        <v>55</v>
      </c>
    </row>
    <row r="47" spans="1:7" outlineLevel="1" x14ac:dyDescent="0.2"/>
    <row r="48" spans="1:7" outlineLevel="1" x14ac:dyDescent="0.2">
      <c r="E48" s="86" t="s">
        <v>56</v>
      </c>
      <c r="F48" s="99">
        <v>0</v>
      </c>
      <c r="G48" s="70" t="s">
        <v>29</v>
      </c>
    </row>
    <row r="49" spans="1:7" outlineLevel="1" x14ac:dyDescent="0.2">
      <c r="E49" s="86" t="s">
        <v>57</v>
      </c>
      <c r="F49" s="99">
        <v>0</v>
      </c>
      <c r="G49" s="70" t="s">
        <v>29</v>
      </c>
    </row>
    <row r="50" spans="1:7" outlineLevel="1" x14ac:dyDescent="0.2">
      <c r="E50" s="86" t="s">
        <v>58</v>
      </c>
      <c r="F50" s="99">
        <v>1.0873099189099602</v>
      </c>
      <c r="G50" s="70" t="s">
        <v>29</v>
      </c>
    </row>
    <row r="51" spans="1:7" outlineLevel="1" x14ac:dyDescent="0.2">
      <c r="E51" s="86" t="s">
        <v>59</v>
      </c>
      <c r="F51" s="99">
        <v>0</v>
      </c>
      <c r="G51" s="70" t="s">
        <v>29</v>
      </c>
    </row>
    <row r="52" spans="1:7" outlineLevel="1" x14ac:dyDescent="0.2">
      <c r="E52" s="86" t="s">
        <v>60</v>
      </c>
      <c r="F52" s="99">
        <v>-3.3423349135740708</v>
      </c>
      <c r="G52" s="70" t="s">
        <v>29</v>
      </c>
    </row>
    <row r="53" spans="1:7" outlineLevel="1" x14ac:dyDescent="0.2">
      <c r="E53" s="86" t="s">
        <v>61</v>
      </c>
      <c r="F53" s="99">
        <v>0</v>
      </c>
      <c r="G53" s="70" t="s">
        <v>29</v>
      </c>
    </row>
    <row r="55" spans="1:7" x14ac:dyDescent="0.2">
      <c r="A55" s="69" t="s">
        <v>62</v>
      </c>
    </row>
    <row r="56" spans="1:7" outlineLevel="1" x14ac:dyDescent="0.2"/>
    <row r="57" spans="1:7" outlineLevel="1" x14ac:dyDescent="0.2">
      <c r="E57" s="102" t="s">
        <v>63</v>
      </c>
      <c r="F57" s="103">
        <v>0.817283425232745</v>
      </c>
      <c r="G57" s="70" t="s">
        <v>64</v>
      </c>
    </row>
    <row r="58" spans="1:7" outlineLevel="1" x14ac:dyDescent="0.2">
      <c r="E58" s="102" t="s">
        <v>65</v>
      </c>
      <c r="F58" s="103">
        <v>0.80556113694331322</v>
      </c>
      <c r="G58" s="70" t="s">
        <v>64</v>
      </c>
    </row>
    <row r="59" spans="1:7" outlineLevel="1" x14ac:dyDescent="0.2">
      <c r="E59" s="70" t="s">
        <v>66</v>
      </c>
      <c r="F59" s="98">
        <v>1152.3219999999999</v>
      </c>
      <c r="G59" s="70" t="s">
        <v>67</v>
      </c>
    </row>
    <row r="60" spans="1:7" outlineLevel="1" x14ac:dyDescent="0.2">
      <c r="E60" s="70" t="s">
        <v>68</v>
      </c>
      <c r="F60" s="98">
        <v>326.53399999999999</v>
      </c>
      <c r="G60" s="70" t="s">
        <v>67</v>
      </c>
    </row>
    <row r="61" spans="1:7" outlineLevel="1" x14ac:dyDescent="0.2">
      <c r="E61" s="70" t="s">
        <v>69</v>
      </c>
      <c r="F61" s="98">
        <v>1164.56</v>
      </c>
      <c r="G61" s="70" t="s">
        <v>67</v>
      </c>
    </row>
    <row r="62" spans="1:7" outlineLevel="1" x14ac:dyDescent="0.2">
      <c r="E62" s="70" t="s">
        <v>70</v>
      </c>
      <c r="F62" s="98">
        <v>390</v>
      </c>
      <c r="G62" s="70" t="s">
        <v>67</v>
      </c>
    </row>
    <row r="64" spans="1:7" x14ac:dyDescent="0.2">
      <c r="A64" s="69" t="s">
        <v>71</v>
      </c>
    </row>
    <row r="65" spans="1:7" outlineLevel="1" x14ac:dyDescent="0.2"/>
    <row r="66" spans="1:7" outlineLevel="1" x14ac:dyDescent="0.2">
      <c r="E66" s="86" t="s">
        <v>72</v>
      </c>
      <c r="F66" s="99">
        <v>30.764575497850217</v>
      </c>
      <c r="G66" s="70" t="s">
        <v>29</v>
      </c>
    </row>
    <row r="67" spans="1:7" outlineLevel="1" x14ac:dyDescent="0.2">
      <c r="E67" s="86" t="s">
        <v>73</v>
      </c>
      <c r="F67" s="99">
        <v>34.467534909120822</v>
      </c>
      <c r="G67" s="70" t="s">
        <v>29</v>
      </c>
    </row>
    <row r="69" spans="1:7" x14ac:dyDescent="0.2">
      <c r="A69" s="69" t="s">
        <v>74</v>
      </c>
    </row>
    <row r="70" spans="1:7" outlineLevel="1" x14ac:dyDescent="0.2"/>
    <row r="71" spans="1:7" outlineLevel="1" x14ac:dyDescent="0.2">
      <c r="E71" s="86" t="s">
        <v>75</v>
      </c>
      <c r="F71" s="99">
        <v>1091</v>
      </c>
      <c r="G71" s="70" t="s">
        <v>29</v>
      </c>
    </row>
    <row r="72" spans="1:7" outlineLevel="1" x14ac:dyDescent="0.2">
      <c r="E72" s="86" t="s">
        <v>76</v>
      </c>
      <c r="F72" s="99">
        <v>1374</v>
      </c>
      <c r="G72" s="70" t="s">
        <v>29</v>
      </c>
    </row>
    <row r="73" spans="1:7" outlineLevel="1" x14ac:dyDescent="0.2">
      <c r="E73" s="86" t="s">
        <v>77</v>
      </c>
      <c r="F73" s="99">
        <v>0</v>
      </c>
      <c r="G73" s="70" t="s">
        <v>29</v>
      </c>
    </row>
    <row r="74" spans="1:7" outlineLevel="1" x14ac:dyDescent="0.2">
      <c r="E74" s="86" t="s">
        <v>78</v>
      </c>
      <c r="F74" s="99">
        <v>0</v>
      </c>
      <c r="G74" s="70" t="s">
        <v>29</v>
      </c>
    </row>
    <row r="75" spans="1:7" outlineLevel="1" x14ac:dyDescent="0.2">
      <c r="E75" s="86" t="s">
        <v>79</v>
      </c>
      <c r="F75" s="99">
        <v>0</v>
      </c>
      <c r="G75" s="70" t="s">
        <v>29</v>
      </c>
    </row>
    <row r="76" spans="1:7" outlineLevel="1" x14ac:dyDescent="0.2">
      <c r="E76" s="86" t="s">
        <v>80</v>
      </c>
      <c r="F76" s="99">
        <v>0</v>
      </c>
      <c r="G76" s="70" t="s">
        <v>29</v>
      </c>
    </row>
    <row r="77" spans="1:7" outlineLevel="1" x14ac:dyDescent="0.2">
      <c r="E77" s="86" t="s">
        <v>81</v>
      </c>
      <c r="F77" s="99">
        <v>13.6</v>
      </c>
      <c r="G77" s="70" t="s">
        <v>29</v>
      </c>
    </row>
    <row r="78" spans="1:7" outlineLevel="1" x14ac:dyDescent="0.2">
      <c r="E78" s="86" t="s">
        <v>82</v>
      </c>
      <c r="F78" s="99">
        <v>32.61</v>
      </c>
      <c r="G78" s="70" t="s">
        <v>29</v>
      </c>
    </row>
    <row r="79" spans="1:7" outlineLevel="1" x14ac:dyDescent="0.2">
      <c r="E79" s="86" t="s">
        <v>83</v>
      </c>
      <c r="F79" s="99">
        <v>0</v>
      </c>
      <c r="G79" s="70" t="s">
        <v>29</v>
      </c>
    </row>
    <row r="80" spans="1:7" outlineLevel="1" x14ac:dyDescent="0.2">
      <c r="E80" s="86" t="s">
        <v>84</v>
      </c>
      <c r="F80" s="99">
        <v>4.3</v>
      </c>
      <c r="G80" s="70" t="s">
        <v>29</v>
      </c>
    </row>
    <row r="81" spans="1:7" outlineLevel="1" x14ac:dyDescent="0.2">
      <c r="E81" s="86" t="s">
        <v>85</v>
      </c>
      <c r="F81" s="99">
        <v>120</v>
      </c>
      <c r="G81" s="70" t="s">
        <v>29</v>
      </c>
    </row>
    <row r="82" spans="1:7" outlineLevel="1" x14ac:dyDescent="0.2">
      <c r="E82" s="86" t="s">
        <v>86</v>
      </c>
      <c r="F82" s="99">
        <v>385.29</v>
      </c>
      <c r="G82" s="70" t="s">
        <v>29</v>
      </c>
    </row>
    <row r="83" spans="1:7" outlineLevel="1" x14ac:dyDescent="0.2">
      <c r="E83" s="86" t="s">
        <v>87</v>
      </c>
      <c r="F83" s="99">
        <v>121</v>
      </c>
      <c r="G83" s="70" t="s">
        <v>29</v>
      </c>
    </row>
    <row r="84" spans="1:7" outlineLevel="1" x14ac:dyDescent="0.2">
      <c r="E84" s="86" t="s">
        <v>88</v>
      </c>
      <c r="F84" s="99">
        <v>165.97</v>
      </c>
      <c r="G84" s="70" t="s">
        <v>29</v>
      </c>
    </row>
    <row r="85" spans="1:7" outlineLevel="1" x14ac:dyDescent="0.2">
      <c r="E85" s="86" t="s">
        <v>89</v>
      </c>
      <c r="F85" s="99">
        <v>0</v>
      </c>
      <c r="G85" s="70" t="s">
        <v>29</v>
      </c>
    </row>
    <row r="86" spans="1:7" outlineLevel="1" x14ac:dyDescent="0.2">
      <c r="E86" s="86" t="s">
        <v>90</v>
      </c>
      <c r="F86" s="99">
        <v>0</v>
      </c>
      <c r="G86" s="70" t="s">
        <v>29</v>
      </c>
    </row>
    <row r="87" spans="1:7" outlineLevel="1" x14ac:dyDescent="0.2">
      <c r="E87" s="86" t="s">
        <v>91</v>
      </c>
      <c r="F87" s="99">
        <v>11.9</v>
      </c>
      <c r="G87" s="70" t="s">
        <v>29</v>
      </c>
    </row>
    <row r="88" spans="1:7" outlineLevel="1" x14ac:dyDescent="0.2">
      <c r="E88" s="86" t="s">
        <v>92</v>
      </c>
      <c r="F88" s="99">
        <v>0</v>
      </c>
      <c r="G88" s="70" t="s">
        <v>29</v>
      </c>
    </row>
    <row r="90" spans="1:7" x14ac:dyDescent="0.2">
      <c r="A90" s="69" t="s">
        <v>93</v>
      </c>
    </row>
    <row r="91" spans="1:7" outlineLevel="1" x14ac:dyDescent="0.2"/>
    <row r="92" spans="1:7" outlineLevel="1" x14ac:dyDescent="0.2">
      <c r="E92" s="70" t="s">
        <v>94</v>
      </c>
      <c r="F92" s="98">
        <v>1000</v>
      </c>
      <c r="G92" s="70" t="s">
        <v>95</v>
      </c>
    </row>
    <row r="93" spans="1:7" x14ac:dyDescent="0.2">
      <c r="E93" s="70" t="s">
        <v>96</v>
      </c>
      <c r="F93" s="98">
        <v>12</v>
      </c>
      <c r="G93" s="70" t="s">
        <v>97</v>
      </c>
    </row>
    <row r="96" spans="1:7" x14ac:dyDescent="0.2">
      <c r="B96" s="70" t="s">
        <v>98</v>
      </c>
    </row>
  </sheetData>
  <conditionalFormatting sqref="F2">
    <cfRule type="cellIs" dxfId="82" priority="3" stopIfTrue="1" operator="equal">
      <formula>""</formula>
    </cfRule>
  </conditionalFormatting>
  <conditionalFormatting sqref="F2:F3">
    <cfRule type="cellIs" dxfId="81" priority="1" stopIfTrue="1" operator="notEqual">
      <formula>0</formula>
    </cfRule>
  </conditionalFormatting>
  <conditionalFormatting sqref="J3:S3">
    <cfRule type="cellIs" dxfId="80" priority="4" operator="equal">
      <formula>"PPA ext."</formula>
    </cfRule>
    <cfRule type="cellIs" dxfId="79" priority="5" operator="equal">
      <formula>"Delay"</formula>
    </cfRule>
    <cfRule type="cellIs" dxfId="78" priority="6" operator="equal">
      <formula>"Fin Close"</formula>
    </cfRule>
    <cfRule type="cellIs" dxfId="77" priority="7" stopIfTrue="1" operator="equal">
      <formula>"Construction"</formula>
    </cfRule>
    <cfRule type="cellIs" dxfId="76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E38" sqref="E38"/>
    </sheetView>
  </sheetViews>
  <sheetFormatPr defaultColWidth="0" defaultRowHeight="13" outlineLevelRow="1" x14ac:dyDescent="0.2"/>
  <cols>
    <col min="1" max="4" width="1.44140625" style="70" customWidth="1"/>
    <col min="5" max="5" width="30.109375" style="70" bestFit="1" customWidth="1"/>
    <col min="6" max="6" width="18.6640625" style="70" bestFit="1" customWidth="1"/>
    <col min="7" max="7" width="11.33203125" style="70" bestFit="1" customWidth="1"/>
    <col min="8" max="8" width="6.6640625" style="70" bestFit="1" customWidth="1"/>
    <col min="9" max="9" width="3.44140625" style="70" customWidth="1"/>
    <col min="10" max="19" width="11.4414062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99</v>
      </c>
    </row>
    <row r="10" spans="1:19" hidden="1" outlineLevel="1" x14ac:dyDescent="0.2">
      <c r="B10" s="69" t="s">
        <v>100</v>
      </c>
    </row>
    <row r="11" spans="1:19" hidden="1" outlineLevel="1" x14ac:dyDescent="0.2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2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2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16</v>
      </c>
    </row>
    <row r="17" spans="1:19" hidden="1" outlineLevel="1" x14ac:dyDescent="0.2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2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2"/>
    <row r="20" spans="1:19" hidden="1" outlineLevel="1" x14ac:dyDescent="0.2"/>
    <row r="21" spans="1:19" hidden="1" outlineLevel="1" x14ac:dyDescent="0.2">
      <c r="B21" s="69" t="s">
        <v>18</v>
      </c>
    </row>
    <row r="22" spans="1:19" hidden="1" outlineLevel="1" x14ac:dyDescent="0.2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2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2"/>
    <row r="25" spans="1:19" hidden="1" outlineLevel="1" x14ac:dyDescent="0.2"/>
    <row r="26" spans="1:19" hidden="1" outlineLevel="1" x14ac:dyDescent="0.2">
      <c r="B26" s="69" t="s">
        <v>102</v>
      </c>
    </row>
    <row r="27" spans="1:19" hidden="1" outlineLevel="1" x14ac:dyDescent="0.2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2"/>
    <row r="30" spans="1:19" x14ac:dyDescent="0.2">
      <c r="B30" s="69" t="s">
        <v>103</v>
      </c>
    </row>
    <row r="31" spans="1:19" x14ac:dyDescent="0.2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2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2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2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2">
      <c r="B37" s="70" t="s">
        <v>98</v>
      </c>
    </row>
  </sheetData>
  <conditionalFormatting sqref="F2">
    <cfRule type="cellIs" dxfId="75" priority="3" stopIfTrue="1" operator="equal">
      <formula>""</formula>
    </cfRule>
  </conditionalFormatting>
  <conditionalFormatting sqref="F2:F3">
    <cfRule type="cellIs" dxfId="74" priority="1" stopIfTrue="1" operator="notEqual">
      <formula>0</formula>
    </cfRule>
  </conditionalFormatting>
  <conditionalFormatting sqref="J3:S3">
    <cfRule type="cellIs" dxfId="73" priority="9" operator="equal">
      <formula>"PPA ext."</formula>
    </cfRule>
    <cfRule type="cellIs" dxfId="72" priority="10" operator="equal">
      <formula>"Delay"</formula>
    </cfRule>
    <cfRule type="cellIs" dxfId="71" priority="11" operator="equal">
      <formula>"Fin Close"</formula>
    </cfRule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15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12" sqref="F12"/>
    </sheetView>
  </sheetViews>
  <sheetFormatPr defaultColWidth="0" defaultRowHeight="13" x14ac:dyDescent="0.2"/>
  <cols>
    <col min="1" max="4" width="1.44140625" style="70" customWidth="1"/>
    <col min="5" max="5" width="58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104</v>
      </c>
    </row>
    <row r="9" spans="1:19" x14ac:dyDescent="0.2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241.50996182396747</v>
      </c>
      <c r="G9" s="88" t="str">
        <f xml:space="preserve">  InpS!G$15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104</v>
      </c>
      <c r="F11" s="89">
        <f xml:space="preserve">  $F9 * $F10</f>
        <v>285.13470224939067</v>
      </c>
      <c r="G11" s="70" t="s">
        <v>29</v>
      </c>
      <c r="M11" s="89"/>
    </row>
    <row r="14" spans="1:19" x14ac:dyDescent="0.2">
      <c r="B14" s="69" t="s">
        <v>105</v>
      </c>
    </row>
    <row r="15" spans="1:19" x14ac:dyDescent="0.2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152.34922073571767</v>
      </c>
      <c r="G15" s="88" t="str">
        <f xml:space="preserve">  InpS!G$17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105</v>
      </c>
      <c r="F17" s="89">
        <f xml:space="preserve">  $F15 * $F16</f>
        <v>179.86856262297067</v>
      </c>
      <c r="G17" s="70" t="s">
        <v>29</v>
      </c>
      <c r="M17" s="89"/>
    </row>
    <row r="20" spans="1:13" x14ac:dyDescent="0.2">
      <c r="B20" s="69" t="s">
        <v>106</v>
      </c>
    </row>
    <row r="21" spans="1:13" x14ac:dyDescent="0.2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213.869</v>
      </c>
      <c r="G21" s="88" t="str">
        <f xml:space="preserve">  InpS!G$18</f>
        <v>£m</v>
      </c>
      <c r="M21" s="89"/>
    </row>
    <row r="22" spans="1:13" x14ac:dyDescent="0.2">
      <c r="E22" s="89" t="str">
        <f t="shared" ref="E22:G22" si="0" xml:space="preserve">  E$17</f>
        <v>Average PAYG PR19</v>
      </c>
      <c r="F22" s="89">
        <f t="shared" si="0"/>
        <v>179.86856262297067</v>
      </c>
      <c r="G22" s="89" t="str">
        <f t="shared" si="0"/>
        <v>£m</v>
      </c>
      <c r="M22" s="89"/>
    </row>
    <row r="23" spans="1:13" x14ac:dyDescent="0.2">
      <c r="E23" s="70" t="s">
        <v>106</v>
      </c>
      <c r="F23" s="89">
        <f xml:space="preserve">  $F21 - $F22</f>
        <v>34.000437377029328</v>
      </c>
      <c r="G23" s="70" t="s">
        <v>29</v>
      </c>
      <c r="M23" s="89"/>
    </row>
    <row r="26" spans="1:13" x14ac:dyDescent="0.2">
      <c r="B26" s="69" t="s">
        <v>107</v>
      </c>
    </row>
    <row r="27" spans="1:13" x14ac:dyDescent="0.2">
      <c r="E27" s="89" t="str">
        <f t="shared" ref="E27:G27" si="1" xml:space="preserve">  E$17</f>
        <v>Average PAYG PR19</v>
      </c>
      <c r="F27" s="89">
        <f t="shared" si="1"/>
        <v>179.86856262297067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totex PR19</v>
      </c>
      <c r="F28" s="89">
        <f t="shared" si="2"/>
        <v>285.13470224939067</v>
      </c>
      <c r="G28" s="89" t="str">
        <f t="shared" si="2"/>
        <v>£m</v>
      </c>
      <c r="M28" s="89"/>
    </row>
    <row r="29" spans="1:13" x14ac:dyDescent="0.2">
      <c r="E29" s="70" t="s">
        <v>107</v>
      </c>
      <c r="F29" s="93">
        <f xml:space="preserve">  $F27 / $F28</f>
        <v>0.63081961334068049</v>
      </c>
      <c r="G29" s="70" t="s">
        <v>64</v>
      </c>
      <c r="M29" s="93"/>
    </row>
    <row r="32" spans="1:13" x14ac:dyDescent="0.2">
      <c r="B32" s="69" t="s">
        <v>108</v>
      </c>
    </row>
    <row r="33" spans="1:13" x14ac:dyDescent="0.2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213.869</v>
      </c>
      <c r="G33" s="88" t="str">
        <f xml:space="preserve">  InpS!G$18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363.654</v>
      </c>
      <c r="G34" s="88" t="str">
        <f xml:space="preserve">  InpS!G$16</f>
        <v>£m</v>
      </c>
      <c r="M34" s="89"/>
    </row>
    <row r="35" spans="1:13" x14ac:dyDescent="0.2">
      <c r="E35" s="70" t="s">
        <v>108</v>
      </c>
      <c r="F35" s="93">
        <f xml:space="preserve">  $F33 / $F34</f>
        <v>0.58811122660550963</v>
      </c>
      <c r="G35" s="70" t="s">
        <v>64</v>
      </c>
      <c r="M35" s="93"/>
    </row>
    <row r="38" spans="1:13" x14ac:dyDescent="0.2">
      <c r="B38" s="69" t="s">
        <v>109</v>
      </c>
    </row>
    <row r="39" spans="1:13" x14ac:dyDescent="0.2">
      <c r="E39" s="93" t="str">
        <f t="shared" ref="E39:G39" si="3" xml:space="preserve">  E$35</f>
        <v>Effective average PAYG rate PR24</v>
      </c>
      <c r="F39" s="93">
        <f t="shared" si="3"/>
        <v>0.58811122660550963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average PAYG rate PR19</v>
      </c>
      <c r="F40" s="93">
        <f t="shared" si="4"/>
        <v>0.63081961334068049</v>
      </c>
      <c r="G40" s="93" t="str">
        <f t="shared" si="4"/>
        <v>%</v>
      </c>
      <c r="M40" s="93"/>
    </row>
    <row r="41" spans="1:13" x14ac:dyDescent="0.2">
      <c r="E41" s="70" t="s">
        <v>109</v>
      </c>
      <c r="F41" s="93">
        <f xml:space="preserve">  $F39 - $F40</f>
        <v>-4.2708386735170856E-2</v>
      </c>
      <c r="G41" s="70" t="s">
        <v>64</v>
      </c>
      <c r="M41" s="93"/>
    </row>
    <row r="44" spans="1:13" x14ac:dyDescent="0.2">
      <c r="B44" s="69" t="s">
        <v>110</v>
      </c>
    </row>
    <row r="45" spans="1:13" x14ac:dyDescent="0.2">
      <c r="E45" s="93" t="str">
        <f t="shared" ref="E45:G45" si="5" xml:space="preserve">  E$41</f>
        <v>Effective average PAYG rate variance</v>
      </c>
      <c r="F45" s="93">
        <f t="shared" si="5"/>
        <v>-4.2708386735170856E-2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363.654</v>
      </c>
      <c r="G46" s="88" t="str">
        <f xml:space="preserve">  InpS!G$16</f>
        <v>£m</v>
      </c>
      <c r="M46" s="89"/>
    </row>
    <row r="47" spans="1:13" x14ac:dyDescent="0.2">
      <c r="E47" s="70" t="s">
        <v>110</v>
      </c>
      <c r="F47" s="89">
        <f xml:space="preserve">  $F45 * $F46</f>
        <v>-15.531075669791822</v>
      </c>
      <c r="G47" s="70" t="s">
        <v>29</v>
      </c>
      <c r="M47" s="89"/>
    </row>
    <row r="50" spans="1:13" x14ac:dyDescent="0.2">
      <c r="B50" s="69" t="s">
        <v>111</v>
      </c>
    </row>
    <row r="51" spans="1:13" x14ac:dyDescent="0.2">
      <c r="E51" s="89" t="str">
        <f t="shared" ref="E51:G51" si="6" xml:space="preserve">  E$23</f>
        <v>Average PAYG variance</v>
      </c>
      <c r="F51" s="89">
        <f t="shared" si="6"/>
        <v>34.000437377029328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average PAYG rates</v>
      </c>
      <c r="F52" s="89">
        <f t="shared" si="7"/>
        <v>-15.531075669791822</v>
      </c>
      <c r="G52" s="89" t="str">
        <f t="shared" si="7"/>
        <v>£m</v>
      </c>
      <c r="M52" s="89"/>
    </row>
    <row r="53" spans="1:13" x14ac:dyDescent="0.2">
      <c r="E53" s="70" t="s">
        <v>111</v>
      </c>
      <c r="F53" s="89">
        <f xml:space="preserve">  $F51 - $F52</f>
        <v>49.531513046821146</v>
      </c>
      <c r="G53" s="70" t="s">
        <v>29</v>
      </c>
      <c r="M53" s="89"/>
    </row>
    <row r="56" spans="1:13" x14ac:dyDescent="0.2">
      <c r="B56" s="69" t="s">
        <v>112</v>
      </c>
    </row>
    <row r="57" spans="1:13" x14ac:dyDescent="0.2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263.67805654235377</v>
      </c>
      <c r="G57" s="88" t="str">
        <f xml:space="preserve">  InpS!G$19</f>
        <v>£m</v>
      </c>
      <c r="M57" s="89"/>
    </row>
    <row r="58" spans="1:13" x14ac:dyDescent="0.2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2">
      <c r="E59" s="70" t="s">
        <v>112</v>
      </c>
      <c r="F59" s="89">
        <f xml:space="preserve">  $F57 * $F58</f>
        <v>311.3070929831963</v>
      </c>
      <c r="G59" s="70" t="s">
        <v>29</v>
      </c>
      <c r="M59" s="89"/>
    </row>
    <row r="62" spans="1:13" x14ac:dyDescent="0.2">
      <c r="B62" s="69" t="s">
        <v>113</v>
      </c>
    </row>
    <row r="63" spans="1:13" x14ac:dyDescent="0.2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392.24459812698001</v>
      </c>
      <c r="G63" s="88" t="str">
        <f xml:space="preserve">  InpS!G$20</f>
        <v>£m</v>
      </c>
      <c r="M63" s="89"/>
    </row>
    <row r="64" spans="1:13" x14ac:dyDescent="0.2">
      <c r="E64" s="89" t="str">
        <f t="shared" ref="E64:G64" si="8" xml:space="preserve">  E$59</f>
        <v>Average profiled allowed revenue PR19</v>
      </c>
      <c r="F64" s="89">
        <f t="shared" si="8"/>
        <v>311.3070929831963</v>
      </c>
      <c r="G64" s="89" t="str">
        <f t="shared" si="8"/>
        <v>£m</v>
      </c>
      <c r="M64" s="89"/>
    </row>
    <row r="65" spans="1:13" x14ac:dyDescent="0.2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1554.56</v>
      </c>
      <c r="G65" s="72" t="str">
        <f xml:space="preserve">  'Cost to serve'!G$17</f>
        <v>000 customers</v>
      </c>
      <c r="M65" s="73"/>
    </row>
    <row r="66" spans="1:13" x14ac:dyDescent="0.2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2">
      <c r="E67" s="70" t="s">
        <v>113</v>
      </c>
      <c r="F67" s="89">
        <f xml:space="preserve">  ( $F63 - $F64 ) / $F65 * $F66</f>
        <v>52.064574634484167</v>
      </c>
      <c r="G67" s="70" t="s">
        <v>50</v>
      </c>
      <c r="M67" s="89"/>
    </row>
    <row r="70" spans="1:13" x14ac:dyDescent="0.2">
      <c r="B70" s="69" t="s">
        <v>114</v>
      </c>
    </row>
    <row r="71" spans="1:13" x14ac:dyDescent="0.2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37.383751146085487</v>
      </c>
      <c r="G71" s="88" t="str">
        <f xml:space="preserve">  Wholesale!G$24</f>
        <v>£ / customer</v>
      </c>
      <c r="M71" s="89"/>
    </row>
    <row r="72" spans="1:13" x14ac:dyDescent="0.2">
      <c r="E72" s="89" t="str">
        <f t="shared" ref="E72:G72" si="9" xml:space="preserve">  E$67</f>
        <v>Average profiled allowed revenues variance per customer</v>
      </c>
      <c r="F72" s="89">
        <f t="shared" si="9"/>
        <v>52.064574634484167</v>
      </c>
      <c r="G72" s="89" t="str">
        <f t="shared" si="9"/>
        <v>£ / customer</v>
      </c>
      <c r="M72" s="89"/>
    </row>
    <row r="73" spans="1:13" x14ac:dyDescent="0.2">
      <c r="E73" s="70" t="s">
        <v>114</v>
      </c>
      <c r="F73" s="91">
        <f xml:space="preserve">  $F71 / $F72</f>
        <v>0.71802663151548995</v>
      </c>
      <c r="G73" s="70" t="s">
        <v>115</v>
      </c>
      <c r="M73" s="91"/>
    </row>
    <row r="76" spans="1:13" x14ac:dyDescent="0.2">
      <c r="B76" s="69" t="s">
        <v>116</v>
      </c>
    </row>
    <row r="77" spans="1:13" x14ac:dyDescent="0.2">
      <c r="E77" s="89" t="str">
        <f t="shared" ref="E77:G77" si="10" xml:space="preserve">  E$23</f>
        <v>Average PAYG variance</v>
      </c>
      <c r="F77" s="89">
        <f t="shared" si="10"/>
        <v>34.000437377029328</v>
      </c>
      <c r="G77" s="89" t="str">
        <f t="shared" si="10"/>
        <v>£m</v>
      </c>
      <c r="M77" s="89"/>
    </row>
    <row r="78" spans="1:13" x14ac:dyDescent="0.2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1554.56</v>
      </c>
      <c r="G78" s="72" t="str">
        <f xml:space="preserve">  'Cost to serve'!G$17</f>
        <v>000 customers</v>
      </c>
      <c r="M78" s="73"/>
    </row>
    <row r="79" spans="1:13" x14ac:dyDescent="0.2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2">
      <c r="E80" s="70" t="s">
        <v>116</v>
      </c>
      <c r="F80" s="89">
        <f xml:space="preserve">  $F77 / $F78 * $F79</f>
        <v>21.871421738002606</v>
      </c>
      <c r="G80" s="70" t="s">
        <v>50</v>
      </c>
      <c r="M80" s="89"/>
    </row>
    <row r="83" spans="1:13" x14ac:dyDescent="0.2">
      <c r="B83" s="69" t="s">
        <v>117</v>
      </c>
    </row>
    <row r="84" spans="1:13" x14ac:dyDescent="0.2">
      <c r="E84" s="89" t="str">
        <f t="shared" ref="E84:G84" si="11" xml:space="preserve">  E$80</f>
        <v>Pre-adjustment average PAYG bill impact</v>
      </c>
      <c r="F84" s="89">
        <f t="shared" si="11"/>
        <v>21.871421738002606</v>
      </c>
      <c r="G84" s="89" t="str">
        <f t="shared" si="11"/>
        <v>£ / customer</v>
      </c>
      <c r="M84" s="89"/>
    </row>
    <row r="85" spans="1:13" x14ac:dyDescent="0.2">
      <c r="E85" s="91" t="str">
        <f t="shared" ref="E85:G85" si="12" xml:space="preserve">  E$73</f>
        <v>Average adjustment factor</v>
      </c>
      <c r="F85" s="91">
        <f t="shared" si="12"/>
        <v>0.71802663151548995</v>
      </c>
      <c r="G85" s="91" t="str">
        <f t="shared" si="12"/>
        <v>factor</v>
      </c>
      <c r="M85" s="91"/>
    </row>
    <row r="86" spans="1:13" x14ac:dyDescent="0.2">
      <c r="E86" s="70" t="s">
        <v>117</v>
      </c>
      <c r="F86" s="89">
        <f xml:space="preserve">  $F84 * $F85</f>
        <v>15.704263276992675</v>
      </c>
      <c r="G86" s="70" t="s">
        <v>50</v>
      </c>
      <c r="M86" s="89"/>
    </row>
    <row r="89" spans="1:13" x14ac:dyDescent="0.2">
      <c r="B89" s="69" t="s">
        <v>118</v>
      </c>
    </row>
    <row r="90" spans="1:13" x14ac:dyDescent="0.2">
      <c r="E90" s="89" t="str">
        <f t="shared" ref="E90:G90" si="13" xml:space="preserve">  E$53</f>
        <v>Impact of average totex change</v>
      </c>
      <c r="F90" s="89">
        <f t="shared" si="13"/>
        <v>49.531513046821146</v>
      </c>
      <c r="G90" s="89" t="str">
        <f t="shared" si="13"/>
        <v>£m</v>
      </c>
      <c r="M90" s="89"/>
    </row>
    <row r="91" spans="1:13" x14ac:dyDescent="0.2">
      <c r="E91" s="89" t="str">
        <f t="shared" ref="E91:G91" si="14" xml:space="preserve">  E$23</f>
        <v>Average PAYG variance</v>
      </c>
      <c r="F91" s="89">
        <f t="shared" si="14"/>
        <v>34.000437377029328</v>
      </c>
      <c r="G91" s="89" t="str">
        <f t="shared" si="14"/>
        <v>£m</v>
      </c>
      <c r="M91" s="89"/>
    </row>
    <row r="92" spans="1:13" x14ac:dyDescent="0.2">
      <c r="E92" s="89" t="str">
        <f t="shared" ref="E92:G92" si="15" xml:space="preserve">  E$86</f>
        <v>Average PAYG bill impact</v>
      </c>
      <c r="F92" s="89">
        <f t="shared" si="15"/>
        <v>15.704263276992675</v>
      </c>
      <c r="G92" s="89" t="str">
        <f t="shared" si="15"/>
        <v>£ / customer</v>
      </c>
      <c r="M92" s="89"/>
    </row>
    <row r="93" spans="1:13" x14ac:dyDescent="0.2">
      <c r="A93" s="75"/>
      <c r="B93" s="75"/>
      <c r="C93" s="75"/>
      <c r="D93" s="75"/>
      <c r="E93" s="75" t="s">
        <v>118</v>
      </c>
      <c r="F93" s="94">
        <f xml:space="preserve">  $F90 / $F91 * $F92</f>
        <v>22.877821034166924</v>
      </c>
      <c r="G93" s="75" t="s">
        <v>50</v>
      </c>
      <c r="M93" s="89"/>
    </row>
    <row r="96" spans="1:13" x14ac:dyDescent="0.2">
      <c r="B96" s="69" t="s">
        <v>119</v>
      </c>
    </row>
    <row r="97" spans="1:13" x14ac:dyDescent="0.2">
      <c r="E97" s="89" t="str">
        <f t="shared" ref="E97:G97" si="16" xml:space="preserve">  E$23</f>
        <v>Average PAYG variance</v>
      </c>
      <c r="F97" s="89">
        <f t="shared" si="16"/>
        <v>34.000437377029328</v>
      </c>
      <c r="G97" s="89" t="str">
        <f t="shared" si="16"/>
        <v>£m</v>
      </c>
      <c r="M97" s="89"/>
    </row>
    <row r="98" spans="1:13" x14ac:dyDescent="0.2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1554.56</v>
      </c>
      <c r="G98" s="72" t="str">
        <f xml:space="preserve">  'Cost to serve'!G$17</f>
        <v>000 customers</v>
      </c>
      <c r="M98" s="73"/>
    </row>
    <row r="99" spans="1:13" x14ac:dyDescent="0.2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2">
      <c r="E100" s="70" t="s">
        <v>119</v>
      </c>
      <c r="F100" s="89">
        <f xml:space="preserve">  $F97 / $F98 * $F99</f>
        <v>21.871421738002606</v>
      </c>
      <c r="G100" s="70" t="s">
        <v>50</v>
      </c>
      <c r="M100" s="89"/>
    </row>
    <row r="103" spans="1:13" x14ac:dyDescent="0.2">
      <c r="B103" s="69" t="s">
        <v>120</v>
      </c>
    </row>
    <row r="104" spans="1:13" x14ac:dyDescent="0.2">
      <c r="E104" s="89" t="str">
        <f t="shared" ref="E104:G104" si="17" xml:space="preserve">  E$100</f>
        <v>Pre-adjustment PAYG bill impact</v>
      </c>
      <c r="F104" s="89">
        <f t="shared" si="17"/>
        <v>21.871421738002606</v>
      </c>
      <c r="G104" s="89" t="str">
        <f t="shared" si="17"/>
        <v>£ / customer</v>
      </c>
      <c r="M104" s="89"/>
    </row>
    <row r="105" spans="1:13" x14ac:dyDescent="0.2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0.71802663151548995</v>
      </c>
      <c r="G105" s="90" t="str">
        <f xml:space="preserve">  Wholesale!G$44</f>
        <v>factor</v>
      </c>
      <c r="M105" s="91"/>
    </row>
    <row r="106" spans="1:13" x14ac:dyDescent="0.2">
      <c r="A106" s="75"/>
      <c r="B106" s="75"/>
      <c r="C106" s="75"/>
      <c r="D106" s="75"/>
      <c r="E106" s="75" t="s">
        <v>120</v>
      </c>
      <c r="F106" s="94">
        <f xml:space="preserve">  $F104 * $F105</f>
        <v>15.704263276992675</v>
      </c>
      <c r="G106" s="75" t="s">
        <v>50</v>
      </c>
      <c r="M106" s="89"/>
    </row>
    <row r="109" spans="1:13" x14ac:dyDescent="0.2">
      <c r="B109" s="69" t="s">
        <v>121</v>
      </c>
    </row>
    <row r="110" spans="1:13" x14ac:dyDescent="0.2">
      <c r="E110" s="89" t="str">
        <f t="shared" ref="E110:G110" si="18" xml:space="preserve">  E$106</f>
        <v>PAYG bill impact</v>
      </c>
      <c r="F110" s="89">
        <f t="shared" si="18"/>
        <v>15.704263276992675</v>
      </c>
      <c r="G110" s="89" t="str">
        <f t="shared" si="18"/>
        <v>£ / customer</v>
      </c>
      <c r="M110" s="89"/>
    </row>
    <row r="111" spans="1:13" x14ac:dyDescent="0.2">
      <c r="E111" s="89" t="str">
        <f t="shared" ref="E111:G111" si="19" xml:space="preserve">  E$93</f>
        <v>Average totex increase/(decrease)</v>
      </c>
      <c r="F111" s="89">
        <f t="shared" si="19"/>
        <v>22.877821034166924</v>
      </c>
      <c r="G111" s="89" t="str">
        <f t="shared" si="19"/>
        <v>£ / customer</v>
      </c>
      <c r="M111" s="89"/>
    </row>
    <row r="112" spans="1:13" x14ac:dyDescent="0.2">
      <c r="A112" s="75"/>
      <c r="B112" s="75"/>
      <c r="C112" s="75"/>
      <c r="D112" s="75"/>
      <c r="E112" s="75" t="s">
        <v>121</v>
      </c>
      <c r="F112" s="94">
        <f xml:space="preserve">  $F110 - $F111</f>
        <v>-7.1735577571742493</v>
      </c>
      <c r="G112" s="75" t="s">
        <v>50</v>
      </c>
      <c r="M112" s="89"/>
    </row>
    <row r="115" spans="2:2" x14ac:dyDescent="0.2">
      <c r="B115" s="70" t="s">
        <v>98</v>
      </c>
    </row>
  </sheetData>
  <conditionalFormatting sqref="F2">
    <cfRule type="cellIs" dxfId="68" priority="3" stopIfTrue="1" operator="equal">
      <formula>""</formula>
    </cfRule>
  </conditionalFormatting>
  <conditionalFormatting sqref="F2:F3">
    <cfRule type="cellIs" dxfId="67" priority="1" stopIfTrue="1" operator="notEqual">
      <formula>0</formula>
    </cfRule>
  </conditionalFormatting>
  <conditionalFormatting sqref="J3:S3">
    <cfRule type="cellIs" dxfId="66" priority="9" operator="equal">
      <formula>"PPA ext."</formula>
    </cfRule>
    <cfRule type="cellIs" dxfId="65" priority="10" operator="equal">
      <formula>"Delay"</formula>
    </cfRule>
    <cfRule type="cellIs" dxfId="64" priority="11" operator="equal">
      <formula>"Fin Close"</formula>
    </cfRule>
    <cfRule type="cellIs" dxfId="63" priority="12" stopIfTrue="1" operator="equal">
      <formula>"Construction"</formula>
    </cfRule>
    <cfRule type="cellIs" dxfId="62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83"/>
  <sheetViews>
    <sheetView showGridLines="0" workbookViewId="0">
      <pane xSplit="9" ySplit="5" topLeftCell="J56" activePane="bottomRight" state="frozen"/>
      <selection pane="topRight"/>
      <selection pane="bottomLeft"/>
      <selection pane="bottomRight" activeCell="F23" sqref="F23"/>
    </sheetView>
  </sheetViews>
  <sheetFormatPr defaultColWidth="0" defaultRowHeight="13" x14ac:dyDescent="0.2"/>
  <cols>
    <col min="1" max="4" width="1.44140625" style="70" customWidth="1"/>
    <col min="5" max="5" width="36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122</v>
      </c>
    </row>
    <row r="9" spans="1:19" x14ac:dyDescent="0.2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1454.0654175856976</v>
      </c>
      <c r="G9" s="88" t="str">
        <f xml:space="preserve">  InpS!G$26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122</v>
      </c>
      <c r="F11" s="89">
        <f xml:space="preserve">  $F9 * $F10</f>
        <v>1716.7180465898628</v>
      </c>
      <c r="G11" s="70" t="s">
        <v>29</v>
      </c>
      <c r="M11" s="89"/>
    </row>
    <row r="14" spans="1:19" x14ac:dyDescent="0.2">
      <c r="B14" s="69" t="s">
        <v>123</v>
      </c>
    </row>
    <row r="15" spans="1:19" x14ac:dyDescent="0.2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78.329559960676136</v>
      </c>
      <c r="G15" s="88" t="str">
        <f xml:space="preserve">  InpS!G$24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123</v>
      </c>
      <c r="F17" s="89">
        <f xml:space="preserve">  $F15 * $F16</f>
        <v>92.478486552005677</v>
      </c>
      <c r="G17" s="70" t="s">
        <v>29</v>
      </c>
      <c r="M17" s="89"/>
    </row>
    <row r="20" spans="1:13" x14ac:dyDescent="0.2">
      <c r="B20" s="69" t="s">
        <v>124</v>
      </c>
    </row>
    <row r="21" spans="1:13" x14ac:dyDescent="0.2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95.310084251821522</v>
      </c>
      <c r="G21" s="88" t="str">
        <f xml:space="preserve">  InpS!G$25</f>
        <v>£m</v>
      </c>
      <c r="M21" s="89"/>
    </row>
    <row r="22" spans="1:13" x14ac:dyDescent="0.2">
      <c r="E22" s="89" t="str">
        <f t="shared" ref="E22:G22" si="0" xml:space="preserve">  E$17</f>
        <v>Run off PR19</v>
      </c>
      <c r="F22" s="89">
        <f t="shared" si="0"/>
        <v>92.478486552005677</v>
      </c>
      <c r="G22" s="89" t="str">
        <f t="shared" si="0"/>
        <v>£m</v>
      </c>
      <c r="M22" s="89"/>
    </row>
    <row r="23" spans="1:13" x14ac:dyDescent="0.2">
      <c r="E23" s="70" t="s">
        <v>124</v>
      </c>
      <c r="F23" s="89">
        <f xml:space="preserve">  $F21 - $F22</f>
        <v>2.8315976998158447</v>
      </c>
      <c r="G23" s="70" t="s">
        <v>29</v>
      </c>
      <c r="M23" s="89"/>
    </row>
    <row r="26" spans="1:13" x14ac:dyDescent="0.2">
      <c r="B26" s="69" t="s">
        <v>125</v>
      </c>
    </row>
    <row r="27" spans="1:13" x14ac:dyDescent="0.2">
      <c r="E27" s="89" t="str">
        <f t="shared" ref="E27:G27" si="1" xml:space="preserve">  E$17</f>
        <v>Run off PR19</v>
      </c>
      <c r="F27" s="89">
        <f t="shared" si="1"/>
        <v>92.478486552005677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RCV PR19</v>
      </c>
      <c r="F28" s="89">
        <f t="shared" si="2"/>
        <v>1716.7180465898628</v>
      </c>
      <c r="G28" s="89" t="str">
        <f t="shared" si="2"/>
        <v>£m</v>
      </c>
      <c r="M28" s="89"/>
    </row>
    <row r="29" spans="1:13" x14ac:dyDescent="0.2">
      <c r="E29" s="70" t="s">
        <v>125</v>
      </c>
      <c r="F29" s="93">
        <f xml:space="preserve">  $F27 / $F28</f>
        <v>5.386935072751612E-2</v>
      </c>
      <c r="G29" s="70" t="s">
        <v>64</v>
      </c>
      <c r="M29" s="93"/>
    </row>
    <row r="32" spans="1:13" x14ac:dyDescent="0.2">
      <c r="B32" s="69" t="s">
        <v>126</v>
      </c>
    </row>
    <row r="33" spans="1:13" x14ac:dyDescent="0.2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95.310084251821522</v>
      </c>
      <c r="G33" s="88" t="str">
        <f xml:space="preserve">  InpS!G$25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2224.2996482661056</v>
      </c>
      <c r="G34" s="88" t="str">
        <f xml:space="preserve">  InpS!G$27</f>
        <v>£m</v>
      </c>
      <c r="M34" s="89"/>
    </row>
    <row r="35" spans="1:13" x14ac:dyDescent="0.2">
      <c r="E35" s="70" t="s">
        <v>126</v>
      </c>
      <c r="F35" s="93">
        <f xml:space="preserve">  $F33 / $F34</f>
        <v>4.2849480431342964E-2</v>
      </c>
      <c r="G35" s="70" t="s">
        <v>64</v>
      </c>
      <c r="M35" s="93"/>
    </row>
    <row r="38" spans="1:13" x14ac:dyDescent="0.2">
      <c r="B38" s="69" t="s">
        <v>127</v>
      </c>
    </row>
    <row r="39" spans="1:13" x14ac:dyDescent="0.2">
      <c r="E39" s="93" t="str">
        <f t="shared" ref="E39:G39" si="3" xml:space="preserve">  E$35</f>
        <v>Effective run off rate PR24</v>
      </c>
      <c r="F39" s="93">
        <f t="shared" si="3"/>
        <v>4.2849480431342964E-2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run off rate PR19</v>
      </c>
      <c r="F40" s="93">
        <f t="shared" si="4"/>
        <v>5.386935072751612E-2</v>
      </c>
      <c r="G40" s="93" t="str">
        <f t="shared" si="4"/>
        <v>%</v>
      </c>
      <c r="M40" s="93"/>
    </row>
    <row r="41" spans="1:13" x14ac:dyDescent="0.2">
      <c r="E41" s="70" t="s">
        <v>127</v>
      </c>
      <c r="F41" s="93">
        <f xml:space="preserve">  $F39 - $F40</f>
        <v>-1.1019870296173156E-2</v>
      </c>
      <c r="G41" s="70" t="s">
        <v>64</v>
      </c>
      <c r="M41" s="93"/>
    </row>
    <row r="44" spans="1:13" x14ac:dyDescent="0.2">
      <c r="B44" s="69" t="s">
        <v>128</v>
      </c>
    </row>
    <row r="45" spans="1:13" x14ac:dyDescent="0.2">
      <c r="E45" s="93" t="str">
        <f t="shared" ref="E45:G45" si="5" xml:space="preserve">  E$41</f>
        <v>Effective run off rate variance</v>
      </c>
      <c r="F45" s="93">
        <f t="shared" si="5"/>
        <v>-1.1019870296173156E-2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2224.2996482661056</v>
      </c>
      <c r="G46" s="88" t="str">
        <f xml:space="preserve">  InpS!G$27</f>
        <v>£m</v>
      </c>
      <c r="M46" s="89"/>
    </row>
    <row r="47" spans="1:13" x14ac:dyDescent="0.2">
      <c r="E47" s="70" t="s">
        <v>128</v>
      </c>
      <c r="F47" s="89">
        <f xml:space="preserve">  $F45 * $F46</f>
        <v>-24.511493623716056</v>
      </c>
      <c r="G47" s="70" t="s">
        <v>29</v>
      </c>
      <c r="M47" s="89"/>
    </row>
    <row r="50" spans="1:13" x14ac:dyDescent="0.2">
      <c r="B50" s="69" t="s">
        <v>129</v>
      </c>
    </row>
    <row r="51" spans="1:13" x14ac:dyDescent="0.2">
      <c r="E51" s="89" t="str">
        <f t="shared" ref="E51:G51" si="6" xml:space="preserve">  E$23</f>
        <v>Run off variance</v>
      </c>
      <c r="F51" s="89">
        <f t="shared" si="6"/>
        <v>2.8315976998158447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run off rates</v>
      </c>
      <c r="F52" s="89">
        <f t="shared" si="7"/>
        <v>-24.511493623716056</v>
      </c>
      <c r="G52" s="89" t="str">
        <f t="shared" si="7"/>
        <v>£m</v>
      </c>
      <c r="M52" s="89"/>
    </row>
    <row r="53" spans="1:13" x14ac:dyDescent="0.2">
      <c r="E53" s="70" t="s">
        <v>129</v>
      </c>
      <c r="F53" s="89">
        <f xml:space="preserve">  $F51 - $F52</f>
        <v>27.343091323531901</v>
      </c>
      <c r="G53" s="70" t="s">
        <v>29</v>
      </c>
      <c r="M53" s="89"/>
    </row>
    <row r="56" spans="1:13" x14ac:dyDescent="0.2">
      <c r="B56" s="69" t="s">
        <v>130</v>
      </c>
    </row>
    <row r="57" spans="1:13" x14ac:dyDescent="0.2">
      <c r="E57" s="89" t="str">
        <f t="shared" ref="E57:G57" si="8" xml:space="preserve">  E$23</f>
        <v>Run off variance</v>
      </c>
      <c r="F57" s="89">
        <f t="shared" si="8"/>
        <v>2.8315976998158447</v>
      </c>
      <c r="G57" s="89" t="str">
        <f t="shared" si="8"/>
        <v>£m</v>
      </c>
      <c r="M57" s="89"/>
    </row>
    <row r="58" spans="1:13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1554.56</v>
      </c>
      <c r="G58" s="72" t="str">
        <f xml:space="preserve">  'Cost to serve'!G$17</f>
        <v>000 customers</v>
      </c>
      <c r="M58" s="73"/>
    </row>
    <row r="59" spans="1:13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2">
      <c r="E60" s="70" t="s">
        <v>130</v>
      </c>
      <c r="F60" s="89">
        <f xml:space="preserve">  $F57 / $F58 * $F59</f>
        <v>1.8214785532985829</v>
      </c>
      <c r="G60" s="70" t="s">
        <v>50</v>
      </c>
      <c r="M60" s="89"/>
    </row>
    <row r="63" spans="1:13" x14ac:dyDescent="0.2">
      <c r="B63" s="69" t="s">
        <v>131</v>
      </c>
    </row>
    <row r="64" spans="1:13" x14ac:dyDescent="0.2">
      <c r="E64" s="89" t="str">
        <f t="shared" ref="E64:G64" si="9" xml:space="preserve">  E$60</f>
        <v>Pre-adjustment run off bill impact</v>
      </c>
      <c r="F64" s="89">
        <f t="shared" si="9"/>
        <v>1.8214785532985829</v>
      </c>
      <c r="G64" s="89" t="str">
        <f t="shared" si="9"/>
        <v>£ / customer</v>
      </c>
      <c r="M64" s="89"/>
    </row>
    <row r="65" spans="1:13" x14ac:dyDescent="0.2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0.71802663151548995</v>
      </c>
      <c r="G65" s="90" t="str">
        <f xml:space="preserve">  Wholesale!G$44</f>
        <v>factor</v>
      </c>
      <c r="M65" s="91"/>
    </row>
    <row r="66" spans="1:13" x14ac:dyDescent="0.2">
      <c r="A66" s="75"/>
      <c r="B66" s="75"/>
      <c r="C66" s="75"/>
      <c r="D66" s="75"/>
      <c r="E66" s="75" t="s">
        <v>131</v>
      </c>
      <c r="F66" s="94">
        <f xml:space="preserve">  $F64 * $F65</f>
        <v>1.3078701100026893</v>
      </c>
      <c r="G66" s="75" t="s">
        <v>50</v>
      </c>
      <c r="M66" s="89"/>
    </row>
    <row r="69" spans="1:13" x14ac:dyDescent="0.2">
      <c r="B69" s="69" t="s">
        <v>35</v>
      </c>
    </row>
    <row r="70" spans="1:13" x14ac:dyDescent="0.2">
      <c r="E70" s="89" t="str">
        <f t="shared" ref="E70:G70" si="10" xml:space="preserve">  E$53</f>
        <v>Impact of increased RCV</v>
      </c>
      <c r="F70" s="89">
        <f t="shared" si="10"/>
        <v>27.343091323531901</v>
      </c>
      <c r="G70" s="89" t="str">
        <f t="shared" si="10"/>
        <v>£m</v>
      </c>
      <c r="M70" s="89"/>
    </row>
    <row r="71" spans="1:13" x14ac:dyDescent="0.2">
      <c r="E71" s="89" t="str">
        <f t="shared" ref="E71:G71" si="11" xml:space="preserve">  E$23</f>
        <v>Run off variance</v>
      </c>
      <c r="F71" s="89">
        <f t="shared" si="11"/>
        <v>2.8315976998158447</v>
      </c>
      <c r="G71" s="89" t="str">
        <f t="shared" si="11"/>
        <v>£m</v>
      </c>
      <c r="M71" s="89"/>
    </row>
    <row r="72" spans="1:13" x14ac:dyDescent="0.2">
      <c r="E72" s="89" t="str">
        <f t="shared" ref="E72:G72" si="12" xml:space="preserve">  E$66</f>
        <v>Run off bill impact</v>
      </c>
      <c r="F72" s="89">
        <f t="shared" si="12"/>
        <v>1.3078701100026893</v>
      </c>
      <c r="G72" s="89" t="str">
        <f t="shared" si="12"/>
        <v>£ / customer</v>
      </c>
      <c r="M72" s="89"/>
    </row>
    <row r="73" spans="1:13" x14ac:dyDescent="0.2">
      <c r="A73" s="75"/>
      <c r="B73" s="75"/>
      <c r="C73" s="75"/>
      <c r="D73" s="75"/>
      <c r="E73" s="75" t="s">
        <v>35</v>
      </c>
      <c r="F73" s="94">
        <f xml:space="preserve">  $F70 / $F71 * $F72</f>
        <v>12.629340622591624</v>
      </c>
      <c r="G73" s="75" t="s">
        <v>50</v>
      </c>
      <c r="M73" s="89"/>
    </row>
    <row r="76" spans="1:13" x14ac:dyDescent="0.2">
      <c r="B76" s="69" t="s">
        <v>132</v>
      </c>
    </row>
    <row r="77" spans="1:13" x14ac:dyDescent="0.2">
      <c r="E77" s="89" t="str">
        <f t="shared" ref="E77:G77" si="13" xml:space="preserve">  E$47</f>
        <v>Impact of run off rates</v>
      </c>
      <c r="F77" s="89">
        <f t="shared" si="13"/>
        <v>-24.511493623716056</v>
      </c>
      <c r="G77" s="89" t="str">
        <f t="shared" si="13"/>
        <v>£m</v>
      </c>
      <c r="M77" s="89"/>
    </row>
    <row r="78" spans="1:13" x14ac:dyDescent="0.2">
      <c r="E78" s="89" t="str">
        <f t="shared" ref="E78:G78" si="14" xml:space="preserve">  E$23</f>
        <v>Run off variance</v>
      </c>
      <c r="F78" s="89">
        <f t="shared" si="14"/>
        <v>2.8315976998158447</v>
      </c>
      <c r="G78" s="89" t="str">
        <f t="shared" si="14"/>
        <v>£m</v>
      </c>
      <c r="M78" s="89"/>
    </row>
    <row r="79" spans="1:13" x14ac:dyDescent="0.2">
      <c r="E79" s="89" t="str">
        <f t="shared" ref="E79:G79" si="15" xml:space="preserve">  E$66</f>
        <v>Run off bill impact</v>
      </c>
      <c r="F79" s="89">
        <f t="shared" si="15"/>
        <v>1.3078701100026893</v>
      </c>
      <c r="G79" s="89" t="str">
        <f t="shared" si="15"/>
        <v>£ / customer</v>
      </c>
      <c r="M79" s="89"/>
    </row>
    <row r="80" spans="1:13" x14ac:dyDescent="0.2">
      <c r="A80" s="75"/>
      <c r="B80" s="75"/>
      <c r="C80" s="75"/>
      <c r="D80" s="75"/>
      <c r="E80" s="75" t="s">
        <v>132</v>
      </c>
      <c r="F80" s="94">
        <f xml:space="preserve">  $F77 / $F78 * $F79</f>
        <v>-11.321470512588935</v>
      </c>
      <c r="G80" s="75" t="s">
        <v>50</v>
      </c>
      <c r="M80" s="89"/>
    </row>
    <row r="83" spans="2:2" x14ac:dyDescent="0.2">
      <c r="B83" s="70" t="s">
        <v>98</v>
      </c>
    </row>
  </sheetData>
  <conditionalFormatting sqref="F2">
    <cfRule type="cellIs" dxfId="61" priority="3" stopIfTrue="1" operator="equal">
      <formula>""</formula>
    </cfRule>
  </conditionalFormatting>
  <conditionalFormatting sqref="F2:F3">
    <cfRule type="cellIs" dxfId="60" priority="1" stopIfTrue="1" operator="notEqual">
      <formula>0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  <cfRule type="cellIs" dxfId="57" priority="11" operator="equal">
      <formula>"Fin Close"</formula>
    </cfRule>
    <cfRule type="cellIs" dxfId="56" priority="12" stopIfTrue="1" operator="equal">
      <formula>"Construction"</formula>
    </cfRule>
    <cfRule type="cellIs" dxfId="55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S70"/>
  <sheetViews>
    <sheetView showGridLines="0" workbookViewId="0">
      <pane xSplit="9" ySplit="5" topLeftCell="J40" activePane="bottomRight" state="frozen"/>
      <selection pane="topRight"/>
      <selection pane="bottomLeft"/>
      <selection pane="bottomRight" activeCell="I76" sqref="I76"/>
    </sheetView>
  </sheetViews>
  <sheetFormatPr defaultColWidth="0" defaultRowHeight="13" outlineLevelRow="1" x14ac:dyDescent="0.2"/>
  <cols>
    <col min="1" max="4" width="1.44140625" style="70" customWidth="1"/>
    <col min="5" max="5" width="50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133</v>
      </c>
    </row>
    <row r="9" spans="1:19" x14ac:dyDescent="0.2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2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2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2">
      <c r="B14" s="69" t="s">
        <v>134</v>
      </c>
    </row>
    <row r="15" spans="1:19" x14ac:dyDescent="0.2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216.95516055798481</v>
      </c>
      <c r="G15" s="88" t="str">
        <f xml:space="preserve">  InpS!G$39</f>
        <v>£ / customer</v>
      </c>
      <c r="M15" s="89"/>
    </row>
    <row r="16" spans="1:19" x14ac:dyDescent="0.2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191.71960651497787</v>
      </c>
      <c r="G16" s="88" t="str">
        <f xml:space="preserve">  InpS!G$38</f>
        <v>£ / customer</v>
      </c>
      <c r="M16" s="89"/>
    </row>
    <row r="17" spans="1:13" x14ac:dyDescent="0.2">
      <c r="E17" s="70" t="s">
        <v>134</v>
      </c>
      <c r="F17" s="89">
        <f xml:space="preserve">  $F15 - $F16</f>
        <v>25.235554043006942</v>
      </c>
      <c r="G17" s="70" t="s">
        <v>50</v>
      </c>
      <c r="M17" s="89"/>
    </row>
    <row r="20" spans="1:13" x14ac:dyDescent="0.2">
      <c r="B20" s="69" t="s">
        <v>135</v>
      </c>
    </row>
    <row r="21" spans="1:13" x14ac:dyDescent="0.2">
      <c r="E21" s="89" t="str">
        <f t="shared" ref="E21:G21" si="0" xml:space="preserve">  E$17</f>
        <v>Total bill impact</v>
      </c>
      <c r="F21" s="89">
        <f t="shared" si="0"/>
        <v>25.235554043006942</v>
      </c>
      <c r="G21" s="89" t="str">
        <f t="shared" si="0"/>
        <v>£ / customer</v>
      </c>
      <c r="M21" s="89"/>
    </row>
    <row r="22" spans="1:13" x14ac:dyDescent="0.2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-13.517132667626846</v>
      </c>
      <c r="G22" s="88" t="str">
        <f xml:space="preserve">  'Customer number impacts'!G$25</f>
        <v>£ / customer</v>
      </c>
      <c r="M22" s="89"/>
    </row>
    <row r="23" spans="1:13" x14ac:dyDescent="0.2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1.3689355645483019</v>
      </c>
      <c r="G23" s="88" t="str">
        <f xml:space="preserve">  'Cost to serve'!G$37</f>
        <v>£ / customer</v>
      </c>
      <c r="M23" s="89"/>
    </row>
    <row r="24" spans="1:13" x14ac:dyDescent="0.2">
      <c r="A24" s="75"/>
      <c r="B24" s="75"/>
      <c r="C24" s="75"/>
      <c r="D24" s="75"/>
      <c r="E24" s="75" t="s">
        <v>135</v>
      </c>
      <c r="F24" s="94">
        <f xml:space="preserve">  $F21 - $F22 - $F23</f>
        <v>37.383751146085487</v>
      </c>
      <c r="G24" s="75" t="s">
        <v>50</v>
      </c>
      <c r="M24" s="89"/>
    </row>
    <row r="27" spans="1:13" x14ac:dyDescent="0.2">
      <c r="B27" s="69" t="s">
        <v>136</v>
      </c>
    </row>
    <row r="28" spans="1:13" x14ac:dyDescent="0.2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263.67805654235377</v>
      </c>
      <c r="G28" s="88" t="str">
        <f xml:space="preserve">  InpS!G$34</f>
        <v>£m</v>
      </c>
      <c r="M28" s="89"/>
    </row>
    <row r="29" spans="1:13" x14ac:dyDescent="0.2">
      <c r="E29" s="91" t="str">
        <f t="shared" ref="E29:G29" si="1" xml:space="preserve">  E$11</f>
        <v>CPIH factor</v>
      </c>
      <c r="F29" s="91">
        <f t="shared" si="1"/>
        <v>1.1806332960179113</v>
      </c>
      <c r="G29" s="91" t="str">
        <f t="shared" si="1"/>
        <v>factor</v>
      </c>
      <c r="M29" s="91"/>
    </row>
    <row r="30" spans="1:13" x14ac:dyDescent="0.2">
      <c r="E30" s="70" t="s">
        <v>136</v>
      </c>
      <c r="F30" s="89">
        <f xml:space="preserve">  $F28 * $F29</f>
        <v>311.3070929831963</v>
      </c>
      <c r="G30" s="70" t="s">
        <v>29</v>
      </c>
      <c r="M30" s="89"/>
    </row>
    <row r="33" spans="1:13" x14ac:dyDescent="0.2">
      <c r="B33" s="69" t="s">
        <v>137</v>
      </c>
    </row>
    <row r="34" spans="1:13" x14ac:dyDescent="0.2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392.24459812698001</v>
      </c>
      <c r="G34" s="88" t="str">
        <f xml:space="preserve">  InpS!G$35</f>
        <v>£m</v>
      </c>
      <c r="M34" s="89"/>
    </row>
    <row r="35" spans="1:13" x14ac:dyDescent="0.2">
      <c r="E35" s="89" t="str">
        <f t="shared" ref="E35:G35" si="2" xml:space="preserve">  E$30</f>
        <v>Profiled allowed revenues PR19</v>
      </c>
      <c r="F35" s="89">
        <f t="shared" si="2"/>
        <v>311.3070929831963</v>
      </c>
      <c r="G35" s="89" t="str">
        <f t="shared" si="2"/>
        <v>£m</v>
      </c>
      <c r="M35" s="89"/>
    </row>
    <row r="36" spans="1:13" x14ac:dyDescent="0.2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1554.56</v>
      </c>
      <c r="G36" s="72" t="str">
        <f xml:space="preserve">  'Cost to serve'!G$17</f>
        <v>000 customers</v>
      </c>
      <c r="M36" s="73"/>
    </row>
    <row r="37" spans="1:13" x14ac:dyDescent="0.2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2">
      <c r="E38" s="70" t="s">
        <v>137</v>
      </c>
      <c r="F38" s="89">
        <f xml:space="preserve">  ( $F34 - $F35 ) / $F36 * $F37</f>
        <v>52.064574634484167</v>
      </c>
      <c r="G38" s="70" t="s">
        <v>50</v>
      </c>
      <c r="M38" s="89"/>
    </row>
    <row r="41" spans="1:13" x14ac:dyDescent="0.2">
      <c r="B41" s="69" t="s">
        <v>138</v>
      </c>
    </row>
    <row r="42" spans="1:13" x14ac:dyDescent="0.2">
      <c r="E42" s="89" t="str">
        <f t="shared" ref="E42:G42" si="3" xml:space="preserve">  E$24</f>
        <v>Wholesale bill impact</v>
      </c>
      <c r="F42" s="89">
        <f t="shared" si="3"/>
        <v>37.383751146085487</v>
      </c>
      <c r="G42" s="89" t="str">
        <f t="shared" si="3"/>
        <v>£ / customer</v>
      </c>
      <c r="M42" s="89"/>
    </row>
    <row r="43" spans="1:13" x14ac:dyDescent="0.2">
      <c r="E43" s="89" t="str">
        <f t="shared" ref="E43:G43" si="4" xml:space="preserve">  E$38</f>
        <v>Profiled allowed revenues per customer</v>
      </c>
      <c r="F43" s="89">
        <f t="shared" si="4"/>
        <v>52.064574634484167</v>
      </c>
      <c r="G43" s="89" t="str">
        <f t="shared" si="4"/>
        <v>£ / customer</v>
      </c>
      <c r="M43" s="89"/>
    </row>
    <row r="44" spans="1:13" x14ac:dyDescent="0.2">
      <c r="A44" s="75"/>
      <c r="B44" s="75"/>
      <c r="C44" s="75"/>
      <c r="D44" s="75"/>
      <c r="E44" s="75" t="s">
        <v>138</v>
      </c>
      <c r="F44" s="95">
        <f xml:space="preserve">  $F42 / $F43</f>
        <v>0.71802663151548995</v>
      </c>
      <c r="G44" s="75" t="s">
        <v>115</v>
      </c>
      <c r="M44" s="91"/>
    </row>
    <row r="48" spans="1:13" x14ac:dyDescent="0.2">
      <c r="A48" s="69" t="s">
        <v>139</v>
      </c>
    </row>
    <row r="49" spans="1:13" outlineLevel="1" x14ac:dyDescent="0.2">
      <c r="B49" s="69" t="s">
        <v>140</v>
      </c>
    </row>
    <row r="50" spans="1:13" outlineLevel="1" x14ac:dyDescent="0.2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37.376543940688926</v>
      </c>
      <c r="G50" s="88" t="str">
        <f xml:space="preserve">  InpS!G$36</f>
        <v>£m</v>
      </c>
      <c r="M50" s="89"/>
    </row>
    <row r="51" spans="1:13" outlineLevel="1" x14ac:dyDescent="0.2">
      <c r="E51" s="91" t="str">
        <f t="shared" ref="E51:G51" si="5" xml:space="preserve">  E$11</f>
        <v>CPIH factor</v>
      </c>
      <c r="F51" s="91">
        <f t="shared" si="5"/>
        <v>1.1806332960179113</v>
      </c>
      <c r="G51" s="91" t="str">
        <f t="shared" si="5"/>
        <v>factor</v>
      </c>
      <c r="M51" s="91"/>
    </row>
    <row r="52" spans="1:13" outlineLevel="1" x14ac:dyDescent="0.2">
      <c r="E52" s="70" t="s">
        <v>140</v>
      </c>
      <c r="F52" s="89">
        <f xml:space="preserve">  $F50 * $F51</f>
        <v>44.127992266453859</v>
      </c>
      <c r="G52" s="70" t="s">
        <v>29</v>
      </c>
      <c r="M52" s="89"/>
    </row>
    <row r="53" spans="1:13" outlineLevel="1" x14ac:dyDescent="0.2"/>
    <row r="54" spans="1:13" outlineLevel="1" x14ac:dyDescent="0.2"/>
    <row r="55" spans="1:13" outlineLevel="1" x14ac:dyDescent="0.2">
      <c r="B55" s="69" t="s">
        <v>141</v>
      </c>
    </row>
    <row r="56" spans="1:13" outlineLevel="1" x14ac:dyDescent="0.2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69.84451387515854</v>
      </c>
      <c r="G56" s="88" t="str">
        <f xml:space="preserve">  InpS!G$37</f>
        <v>£m</v>
      </c>
      <c r="M56" s="89"/>
    </row>
    <row r="57" spans="1:13" outlineLevel="1" x14ac:dyDescent="0.2">
      <c r="E57" s="89" t="str">
        <f t="shared" ref="E57:G57" si="6" xml:space="preserve">  E$52</f>
        <v>Final return on capital PR19</v>
      </c>
      <c r="F57" s="89">
        <f t="shared" si="6"/>
        <v>44.127992266453859</v>
      </c>
      <c r="G57" s="89" t="str">
        <f t="shared" si="6"/>
        <v>£m</v>
      </c>
      <c r="M57" s="89"/>
    </row>
    <row r="58" spans="1:13" outlineLevel="1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1554.56</v>
      </c>
      <c r="G58" s="72" t="str">
        <f xml:space="preserve">  'Cost to serve'!G$17</f>
        <v>000 customers</v>
      </c>
      <c r="M58" s="73"/>
    </row>
    <row r="59" spans="1:13" outlineLevel="1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outlineLevel="1" x14ac:dyDescent="0.2">
      <c r="E60" s="70" t="s">
        <v>141</v>
      </c>
      <c r="F60" s="89">
        <f xml:space="preserve">  ( $F56 - $F57 ) / $F58 * $F59</f>
        <v>16.542636893207522</v>
      </c>
      <c r="G60" s="70" t="s">
        <v>50</v>
      </c>
      <c r="M60" s="89"/>
    </row>
    <row r="61" spans="1:13" outlineLevel="1" x14ac:dyDescent="0.2"/>
    <row r="62" spans="1:13" outlineLevel="1" x14ac:dyDescent="0.2"/>
    <row r="63" spans="1:13" outlineLevel="1" x14ac:dyDescent="0.2">
      <c r="B63" s="69" t="s">
        <v>139</v>
      </c>
    </row>
    <row r="64" spans="1:13" outlineLevel="1" x14ac:dyDescent="0.2">
      <c r="E64" s="89" t="str">
        <f t="shared" ref="E64:G64" si="7" xml:space="preserve">  E$60</f>
        <v>Pre-adjustment WACC</v>
      </c>
      <c r="F64" s="89">
        <f t="shared" si="7"/>
        <v>16.542636893207522</v>
      </c>
      <c r="G64" s="89" t="str">
        <f t="shared" si="7"/>
        <v>£ / customer</v>
      </c>
      <c r="M64" s="89"/>
    </row>
    <row r="65" spans="1:13" outlineLevel="1" x14ac:dyDescent="0.2">
      <c r="E65" s="91" t="str">
        <f t="shared" ref="E65:G65" si="8" xml:space="preserve">  E$44</f>
        <v>Adjustment factor</v>
      </c>
      <c r="F65" s="91">
        <f t="shared" si="8"/>
        <v>0.71802663151548995</v>
      </c>
      <c r="G65" s="91" t="str">
        <f t="shared" si="8"/>
        <v>factor</v>
      </c>
      <c r="M65" s="91"/>
    </row>
    <row r="66" spans="1:13" outlineLevel="1" x14ac:dyDescent="0.2">
      <c r="A66" s="75"/>
      <c r="B66" s="75"/>
      <c r="C66" s="75"/>
      <c r="D66" s="75"/>
      <c r="E66" s="75" t="s">
        <v>139</v>
      </c>
      <c r="F66" s="94">
        <f xml:space="preserve">  $F64 * $F65</f>
        <v>11.878053844813667</v>
      </c>
      <c r="G66" s="75" t="s">
        <v>50</v>
      </c>
      <c r="M66" s="89"/>
    </row>
    <row r="67" spans="1:13" outlineLevel="1" x14ac:dyDescent="0.2"/>
    <row r="70" spans="1:13" x14ac:dyDescent="0.2">
      <c r="B70" s="70" t="s">
        <v>98</v>
      </c>
    </row>
  </sheetData>
  <conditionalFormatting sqref="F2">
    <cfRule type="cellIs" dxfId="54" priority="3" stopIfTrue="1" operator="equal">
      <formula>""</formula>
    </cfRule>
  </conditionalFormatting>
  <conditionalFormatting sqref="F2:F3">
    <cfRule type="cellIs" dxfId="53" priority="1" stopIfTrue="1" operator="notEqual">
      <formula>0</formula>
    </cfRule>
  </conditionalFormatting>
  <conditionalFormatting sqref="J3:S3">
    <cfRule type="cellIs" dxfId="52" priority="9" operator="equal">
      <formula>"PPA ext."</formula>
    </cfRule>
    <cfRule type="cellIs" dxfId="51" priority="10" operator="equal">
      <formula>"Delay"</formula>
    </cfRule>
    <cfRule type="cellIs" dxfId="50" priority="11" operator="equal">
      <formula>"Fin Close"</formula>
    </cfRule>
    <cfRule type="cellIs" dxfId="49" priority="12" stopIfTrue="1" operator="equal">
      <formula>"Construction"</formula>
    </cfRule>
    <cfRule type="cellIs" dxfId="48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9" sqref="F9"/>
    </sheetView>
  </sheetViews>
  <sheetFormatPr defaultColWidth="0" defaultRowHeight="13" x14ac:dyDescent="0.2"/>
  <cols>
    <col min="1" max="4" width="1.44140625" style="70" customWidth="1"/>
    <col min="5" max="5" width="50.77734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142</v>
      </c>
    </row>
    <row r="9" spans="1:19" x14ac:dyDescent="0.2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-1.7255587001533996</v>
      </c>
      <c r="G9" s="88" t="str">
        <f xml:space="preserve">  InpS!G$43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142</v>
      </c>
      <c r="F11" s="89">
        <f xml:space="preserve">  $F9 * $F10</f>
        <v>-2.0372520556344909</v>
      </c>
      <c r="G11" s="70" t="s">
        <v>29</v>
      </c>
      <c r="M11" s="89"/>
    </row>
    <row r="14" spans="1:19" x14ac:dyDescent="0.2">
      <c r="B14" s="69" t="s">
        <v>143</v>
      </c>
    </row>
    <row r="15" spans="1:19" x14ac:dyDescent="0.2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8.6999999999999744E-2</v>
      </c>
      <c r="G15" s="88" t="str">
        <f xml:space="preserve">  InpS!G$44</f>
        <v>£m</v>
      </c>
      <c r="M15" s="89"/>
    </row>
    <row r="16" spans="1:19" x14ac:dyDescent="0.2">
      <c r="E16" s="89" t="str">
        <f t="shared" ref="E16:G16" si="0" xml:space="preserve">  E$11</f>
        <v>Post financeability adjustment PR19</v>
      </c>
      <c r="F16" s="89">
        <f t="shared" si="0"/>
        <v>-2.0372520556344909</v>
      </c>
      <c r="G16" s="89" t="str">
        <f t="shared" si="0"/>
        <v>£m</v>
      </c>
      <c r="M16" s="89"/>
    </row>
    <row r="17" spans="1:13" x14ac:dyDescent="0.2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1554.56</v>
      </c>
      <c r="G17" s="72" t="str">
        <f xml:space="preserve">  'Cost to serve'!G$17</f>
        <v>000 customers</v>
      </c>
      <c r="M17" s="73"/>
    </row>
    <row r="18" spans="1:13" x14ac:dyDescent="0.2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2">
      <c r="E19" s="70" t="s">
        <v>143</v>
      </c>
      <c r="F19" s="89">
        <f xml:space="preserve">  ( $F15 - $F16 ) / $F17 * $F18</f>
        <v>1.3664651448863285</v>
      </c>
      <c r="G19" s="70" t="s">
        <v>50</v>
      </c>
      <c r="M19" s="89"/>
    </row>
    <row r="22" spans="1:13" x14ac:dyDescent="0.2">
      <c r="B22" s="69" t="s">
        <v>144</v>
      </c>
    </row>
    <row r="23" spans="1:13" x14ac:dyDescent="0.2">
      <c r="E23" s="89" t="str">
        <f t="shared" ref="E23:G23" si="1" xml:space="preserve">  E$19</f>
        <v>Pre-adjustment wholesale reconciliation</v>
      </c>
      <c r="F23" s="89">
        <f t="shared" si="1"/>
        <v>1.3664651448863285</v>
      </c>
      <c r="G23" s="89" t="str">
        <f t="shared" si="1"/>
        <v>£ / customer</v>
      </c>
      <c r="M23" s="89"/>
    </row>
    <row r="24" spans="1:13" x14ac:dyDescent="0.2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0.71802663151548995</v>
      </c>
      <c r="G24" s="90" t="str">
        <f xml:space="preserve">  Wholesale!G$44</f>
        <v>factor</v>
      </c>
      <c r="M24" s="91"/>
    </row>
    <row r="25" spans="1:13" x14ac:dyDescent="0.2">
      <c r="A25" s="75"/>
      <c r="B25" s="75"/>
      <c r="C25" s="75"/>
      <c r="D25" s="75"/>
      <c r="E25" s="75" t="s">
        <v>144</v>
      </c>
      <c r="F25" s="94">
        <f xml:space="preserve">  $F23 * $F24</f>
        <v>0.98115836506605636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47" priority="3" stopIfTrue="1" operator="equal">
      <formula>""</formula>
    </cfRule>
  </conditionalFormatting>
  <conditionalFormatting sqref="F2:F3">
    <cfRule type="cellIs" dxfId="46" priority="1" stopIfTrue="1" operator="notEqual">
      <formula>0</formula>
    </cfRule>
  </conditionalFormatting>
  <conditionalFormatting sqref="J3:S3">
    <cfRule type="cellIs" dxfId="45" priority="9" operator="equal">
      <formula>"PPA ext."</formula>
    </cfRule>
    <cfRule type="cellIs" dxfId="44" priority="10" operator="equal">
      <formula>"Delay"</formula>
    </cfRule>
    <cfRule type="cellIs" dxfId="43" priority="11" operator="equal">
      <formula>"Fin Close"</formula>
    </cfRule>
    <cfRule type="cellIs" dxfId="42" priority="12" stopIfTrue="1" operator="equal">
      <formula>"Construction"</formula>
    </cfRule>
    <cfRule type="cellIs" dxfId="41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3ed5a7-332a-41b3-b49c-f61625053eee">
      <Terms xmlns="http://schemas.microsoft.com/office/infopath/2007/PartnerControls"/>
    </lcf76f155ced4ddcb4097134ff3c332f>
    <TaxCatchAll xmlns="f51f1067-fcb8-4131-b194-4dd929cf9204" xsi:nil="true"/>
  </documentManagement>
</p:properties>
</file>

<file path=customXml/item3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1780788CE230408D5FB6B4D19807C9" ma:contentTypeVersion="18" ma:contentTypeDescription="Create a new document." ma:contentTypeScope="" ma:versionID="3a44faf7776684698994ee057cb4ddac">
  <xsd:schema xmlns:xsd="http://www.w3.org/2001/XMLSchema" xmlns:xs="http://www.w3.org/2001/XMLSchema" xmlns:p="http://schemas.microsoft.com/office/2006/metadata/properties" xmlns:ns2="963ed5a7-332a-41b3-b49c-f61625053eee" xmlns:ns3="f51f1067-fcb8-4131-b194-4dd929cf9204" targetNamespace="http://schemas.microsoft.com/office/2006/metadata/properties" ma:root="true" ma:fieldsID="33a0c923417f6f288458b9985758fc8a" ns2:_="" ns3:_="">
    <xsd:import namespace="963ed5a7-332a-41b3-b49c-f61625053eee"/>
    <xsd:import namespace="f51f1067-fcb8-4131-b194-4dd929cf9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ed5a7-332a-41b3-b49c-f61625053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b1ca6-37e9-4708-9eb0-4f21c3f7a3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1067-fcb8-4131-b194-4dd929cf9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ce1316-88e2-4c5f-ba67-d164dc69efe0}" ma:internalName="TaxCatchAll" ma:showField="CatchAllData" ma:web="f51f1067-fcb8-4131-b194-4dd929cf92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41A2F-6DC5-4B5A-A3F3-DD7C3C94AC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7EA275-8470-4CC4-A226-AD2C1A6EE066}">
  <ds:schemaRefs>
    <ds:schemaRef ds:uri="http://schemas.microsoft.com/office/2006/metadata/properties"/>
    <ds:schemaRef ds:uri="http://schemas.microsoft.com/office/infopath/2007/PartnerControls"/>
    <ds:schemaRef ds:uri="ae8ad4ee-6218-4d77-88a6-1754fb90688b"/>
    <ds:schemaRef ds:uri="7041854e-4853-44f9-9e63-23b7acad5461"/>
    <ds:schemaRef ds:uri="963ed5a7-332a-41b3-b49c-f61625053eee"/>
    <ds:schemaRef ds:uri="f51f1067-fcb8-4131-b194-4dd929cf9204"/>
  </ds:schemaRefs>
</ds:datastoreItem>
</file>

<file path=customXml/itemProps3.xml><?xml version="1.0" encoding="utf-8"?>
<ds:datastoreItem xmlns:ds="http://schemas.openxmlformats.org/officeDocument/2006/customXml" ds:itemID="{BA7BDC36-4822-4574-A327-0049824AFF9D}">
  <ds:schemaRefs/>
</ds:datastoreItem>
</file>

<file path=customXml/itemProps4.xml><?xml version="1.0" encoding="utf-8"?>
<ds:datastoreItem xmlns:ds="http://schemas.openxmlformats.org/officeDocument/2006/customXml" ds:itemID="{5E089204-31EC-41F3-B79A-2A5EC1CFD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ed5a7-332a-41b3-b49c-f61625053eee"/>
    <ds:schemaRef ds:uri="f51f1067-fcb8-4131-b194-4dd929cf92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Total bill impacts</vt:lpstr>
      <vt:lpstr>OBXValues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Stavrou, Christopher</dc:creator>
  <cp:keywords/>
  <dc:description/>
  <cp:lastModifiedBy>Simmonds, Emma</cp:lastModifiedBy>
  <cp:revision/>
  <dcterms:created xsi:type="dcterms:W3CDTF">2023-07-13T12:43:34Z</dcterms:created>
  <dcterms:modified xsi:type="dcterms:W3CDTF">2023-09-27T15:19:26Z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0x0101003F1780788CE230408D5FB6B4D19807C9</vt:lpwstr>
  </property>
  <property fmtid="{D5CDD505-2E9C-101B-9397-08002B2CF9AE}" pid="3" name="MediaServiceImageTags">
    <vt:lpwstr/>
  </property>
</Properties>
</file>